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naglia\Desktop\Informes estadisticos\Comparativo Acumulado\2022-2023\12Diciembre\"/>
    </mc:Choice>
  </mc:AlternateContent>
  <xr:revisionPtr revIDLastSave="0" documentId="8_{6F09B2B9-F1AA-FA46-8D98-3A034362CFFA}" xr6:coauthVersionLast="47" xr6:coauthVersionMax="47" xr10:uidLastSave="{00000000-0000-0000-0000-000000000000}"/>
  <bookViews>
    <workbookView xWindow="0" yWindow="0" windowWidth="20490" windowHeight="7530" xr2:uid="{00000000-000D-0000-FFFF-FFFF00000000}"/>
  </bookViews>
  <sheets>
    <sheet name="EXTRANJEROS" sheetId="1" r:id="rId1"/>
    <sheet name="ARGENTINOS" sheetId="3" r:id="rId2"/>
    <sheet name="BRASIL" sheetId="4" r:id="rId3"/>
  </sheets>
  <externalReferences>
    <externalReference r:id="rId4"/>
  </externalReferences>
  <definedNames>
    <definedName name="ITEM">[1]Ítem!#REF!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H4" i="1"/>
  <c r="I4" i="1"/>
  <c r="J4" i="1"/>
  <c r="K4" i="1"/>
  <c r="L4" i="1"/>
  <c r="N4" i="1"/>
  <c r="O4" i="1"/>
  <c r="P4" i="1"/>
  <c r="Q4" i="1"/>
  <c r="E5" i="1"/>
  <c r="H5" i="1"/>
  <c r="I5" i="1"/>
  <c r="J5" i="1"/>
  <c r="K5" i="1"/>
  <c r="L5" i="1"/>
  <c r="N5" i="1"/>
  <c r="O5" i="1"/>
  <c r="P5" i="1"/>
  <c r="Q5" i="1"/>
  <c r="E6" i="1"/>
  <c r="H6" i="1"/>
  <c r="I6" i="1"/>
  <c r="J6" i="1"/>
  <c r="K6" i="1"/>
  <c r="L6" i="1"/>
  <c r="N6" i="1"/>
  <c r="O6" i="1"/>
  <c r="P6" i="1"/>
  <c r="Q6" i="1"/>
  <c r="E7" i="1"/>
  <c r="H7" i="1"/>
  <c r="I7" i="1"/>
  <c r="J7" i="1"/>
  <c r="K7" i="1"/>
  <c r="L7" i="1"/>
  <c r="N7" i="1"/>
  <c r="O7" i="1"/>
  <c r="P7" i="1"/>
  <c r="Q7" i="1"/>
  <c r="P8" i="1"/>
  <c r="Q8" i="1"/>
  <c r="E9" i="1"/>
  <c r="H9" i="1"/>
  <c r="I9" i="1"/>
  <c r="J9" i="1"/>
  <c r="K9" i="1"/>
  <c r="L9" i="1"/>
  <c r="N9" i="1"/>
  <c r="O9" i="1"/>
  <c r="P9" i="1"/>
  <c r="Q9" i="1"/>
  <c r="E10" i="1"/>
  <c r="H10" i="1"/>
  <c r="I10" i="1"/>
  <c r="J10" i="1"/>
  <c r="K10" i="1"/>
  <c r="L10" i="1"/>
  <c r="N10" i="1"/>
  <c r="O10" i="1"/>
  <c r="P10" i="1"/>
  <c r="Q10" i="1"/>
  <c r="E11" i="1"/>
  <c r="H11" i="1"/>
  <c r="I11" i="1"/>
  <c r="J11" i="1"/>
  <c r="K11" i="1"/>
  <c r="L11" i="1"/>
  <c r="N11" i="1"/>
  <c r="O11" i="1"/>
  <c r="P11" i="1"/>
  <c r="Q11" i="1"/>
  <c r="E12" i="1"/>
  <c r="H12" i="1"/>
  <c r="I12" i="1"/>
  <c r="J12" i="1"/>
  <c r="K12" i="1"/>
  <c r="L12" i="1"/>
  <c r="N12" i="1"/>
  <c r="O12" i="1"/>
  <c r="P12" i="1"/>
  <c r="Q12" i="1"/>
  <c r="E13" i="1"/>
  <c r="H13" i="1"/>
  <c r="I13" i="1"/>
  <c r="J13" i="1"/>
  <c r="K13" i="1"/>
  <c r="L13" i="1"/>
  <c r="N13" i="1"/>
  <c r="O13" i="1"/>
  <c r="P13" i="1"/>
  <c r="Q13" i="1"/>
  <c r="E14" i="1"/>
  <c r="H14" i="1"/>
  <c r="I14" i="1"/>
  <c r="J14" i="1"/>
  <c r="K14" i="1"/>
  <c r="L14" i="1"/>
  <c r="N14" i="1"/>
  <c r="O14" i="1"/>
  <c r="P14" i="1"/>
  <c r="Q14" i="1"/>
  <c r="E15" i="1"/>
  <c r="I15" i="1"/>
  <c r="J15" i="1"/>
  <c r="K15" i="1"/>
  <c r="L15" i="1"/>
  <c r="N15" i="1"/>
  <c r="O15" i="1"/>
  <c r="P15" i="1"/>
  <c r="Q15" i="1"/>
  <c r="E16" i="1"/>
  <c r="H16" i="1"/>
  <c r="I16" i="1"/>
  <c r="J16" i="1"/>
  <c r="K16" i="1"/>
  <c r="L16" i="1"/>
  <c r="N16" i="1"/>
  <c r="O16" i="1"/>
  <c r="P16" i="1"/>
  <c r="Q16" i="1"/>
  <c r="E17" i="1"/>
  <c r="H17" i="1"/>
  <c r="I17" i="1"/>
  <c r="J17" i="1"/>
  <c r="K17" i="1"/>
  <c r="L17" i="1"/>
  <c r="N17" i="1"/>
  <c r="O17" i="1"/>
  <c r="P17" i="1"/>
  <c r="Q17" i="1"/>
  <c r="E18" i="1"/>
  <c r="I18" i="1"/>
  <c r="J18" i="1"/>
  <c r="K18" i="1"/>
  <c r="L18" i="1"/>
  <c r="N18" i="1"/>
  <c r="O18" i="1"/>
  <c r="P18" i="1"/>
  <c r="Q18" i="1"/>
  <c r="E19" i="1"/>
  <c r="H19" i="1"/>
  <c r="I19" i="1"/>
  <c r="J19" i="1"/>
  <c r="K19" i="1"/>
  <c r="L19" i="1"/>
  <c r="N19" i="1"/>
  <c r="O19" i="1"/>
  <c r="P19" i="1"/>
  <c r="Q19" i="1"/>
  <c r="E20" i="1"/>
  <c r="H20" i="1"/>
  <c r="I20" i="1"/>
  <c r="J20" i="1"/>
  <c r="K20" i="1"/>
  <c r="L20" i="1"/>
  <c r="N20" i="1"/>
  <c r="O20" i="1"/>
  <c r="P20" i="1"/>
  <c r="Q20" i="1"/>
  <c r="E21" i="1"/>
  <c r="I21" i="1"/>
  <c r="J21" i="1"/>
  <c r="K21" i="1"/>
  <c r="L21" i="1"/>
  <c r="N21" i="1"/>
  <c r="O21" i="1"/>
  <c r="P21" i="1"/>
  <c r="Q21" i="1"/>
  <c r="E22" i="1"/>
  <c r="H22" i="1"/>
  <c r="I22" i="1"/>
  <c r="J22" i="1"/>
  <c r="K22" i="1"/>
  <c r="L22" i="1"/>
  <c r="N22" i="1"/>
  <c r="O22" i="1"/>
  <c r="P22" i="1"/>
  <c r="Q22" i="1"/>
  <c r="E23" i="1"/>
  <c r="H23" i="1"/>
  <c r="I23" i="1"/>
  <c r="J23" i="1"/>
  <c r="K23" i="1"/>
  <c r="L23" i="1"/>
  <c r="N23" i="1"/>
  <c r="O23" i="1"/>
  <c r="P23" i="1"/>
  <c r="Q23" i="1"/>
  <c r="E24" i="1"/>
  <c r="H24" i="1"/>
  <c r="I24" i="1"/>
  <c r="J24" i="1"/>
  <c r="K24" i="1"/>
  <c r="L24" i="1"/>
  <c r="N24" i="1"/>
  <c r="O24" i="1"/>
  <c r="P24" i="1"/>
  <c r="Q24" i="1"/>
  <c r="E25" i="1"/>
  <c r="I25" i="1"/>
  <c r="J25" i="1"/>
  <c r="K25" i="1"/>
  <c r="L25" i="1"/>
  <c r="N25" i="1"/>
  <c r="O25" i="1"/>
  <c r="P25" i="1"/>
  <c r="Q25" i="1"/>
  <c r="E26" i="1"/>
  <c r="I26" i="1"/>
  <c r="J26" i="1"/>
  <c r="K26" i="1"/>
  <c r="L26" i="1"/>
  <c r="N26" i="1"/>
  <c r="O26" i="1"/>
  <c r="P26" i="1"/>
  <c r="Q26" i="1"/>
  <c r="E27" i="1"/>
  <c r="I27" i="1"/>
  <c r="J27" i="1"/>
  <c r="K27" i="1"/>
  <c r="L27" i="1"/>
  <c r="N27" i="1"/>
  <c r="O27" i="1"/>
  <c r="P27" i="1"/>
  <c r="Q27" i="1"/>
  <c r="E28" i="1"/>
  <c r="I28" i="1"/>
  <c r="J28" i="1"/>
  <c r="K28" i="1"/>
  <c r="L28" i="1"/>
  <c r="N28" i="1"/>
  <c r="O28" i="1"/>
  <c r="P28" i="1"/>
  <c r="Q28" i="1"/>
  <c r="E29" i="1"/>
  <c r="I29" i="1"/>
  <c r="J29" i="1"/>
  <c r="K29" i="1"/>
  <c r="L29" i="1"/>
  <c r="N29" i="1"/>
  <c r="O29" i="1"/>
  <c r="P29" i="1"/>
  <c r="Q29" i="1"/>
  <c r="E30" i="1"/>
  <c r="I30" i="1"/>
  <c r="K30" i="1"/>
  <c r="L30" i="1"/>
  <c r="N30" i="1"/>
  <c r="O30" i="1"/>
  <c r="P30" i="1"/>
  <c r="Q30" i="1"/>
  <c r="E31" i="1"/>
  <c r="I31" i="1"/>
  <c r="J31" i="1"/>
  <c r="K31" i="1"/>
  <c r="L31" i="1"/>
  <c r="N31" i="1"/>
  <c r="O31" i="1"/>
  <c r="P31" i="1"/>
  <c r="Q31" i="1"/>
  <c r="E32" i="1"/>
  <c r="H32" i="1"/>
  <c r="I32" i="1"/>
  <c r="J32" i="1"/>
  <c r="K32" i="1"/>
  <c r="L32" i="1"/>
  <c r="N32" i="1"/>
  <c r="O32" i="1"/>
  <c r="P32" i="1"/>
  <c r="Q32" i="1"/>
  <c r="E33" i="1"/>
  <c r="H33" i="1"/>
  <c r="I33" i="1"/>
  <c r="J33" i="1"/>
  <c r="K33" i="1"/>
  <c r="L33" i="1"/>
  <c r="N33" i="1"/>
  <c r="O33" i="1"/>
  <c r="P33" i="1"/>
  <c r="Q33" i="1"/>
  <c r="E34" i="1"/>
  <c r="H34" i="1"/>
  <c r="I34" i="1"/>
  <c r="J34" i="1"/>
  <c r="K34" i="1"/>
  <c r="L34" i="1"/>
  <c r="N34" i="1"/>
  <c r="O34" i="1"/>
  <c r="P34" i="1"/>
  <c r="Q34" i="1"/>
  <c r="I35" i="1"/>
  <c r="K35" i="1"/>
  <c r="L35" i="1"/>
  <c r="P35" i="1"/>
  <c r="Q35" i="1"/>
  <c r="E36" i="1"/>
  <c r="H36" i="1"/>
  <c r="I36" i="1"/>
  <c r="J36" i="1"/>
  <c r="K36" i="1"/>
  <c r="L36" i="1"/>
  <c r="N36" i="1"/>
  <c r="O36" i="1"/>
  <c r="P36" i="1"/>
  <c r="Q36" i="1"/>
  <c r="Q37" i="1"/>
  <c r="E38" i="1"/>
  <c r="I38" i="1"/>
  <c r="J38" i="1"/>
  <c r="K38" i="1"/>
  <c r="L38" i="1"/>
  <c r="N38" i="1"/>
  <c r="O38" i="1"/>
  <c r="P38" i="1"/>
  <c r="Q38" i="1"/>
  <c r="E39" i="1"/>
  <c r="H39" i="1"/>
  <c r="I39" i="1"/>
  <c r="J39" i="1"/>
  <c r="K39" i="1"/>
  <c r="L39" i="1"/>
  <c r="N39" i="1"/>
  <c r="O39" i="1"/>
  <c r="P39" i="1"/>
  <c r="Q39" i="1"/>
  <c r="E40" i="1"/>
  <c r="H40" i="1"/>
  <c r="I40" i="1"/>
  <c r="J40" i="1"/>
  <c r="K40" i="1"/>
  <c r="L40" i="1"/>
  <c r="N40" i="1"/>
  <c r="O40" i="1"/>
  <c r="P40" i="1"/>
  <c r="Q40" i="1"/>
  <c r="E41" i="1"/>
  <c r="H41" i="1"/>
  <c r="I41" i="1"/>
  <c r="J41" i="1"/>
  <c r="L41" i="1"/>
  <c r="N41" i="1"/>
  <c r="P41" i="1"/>
  <c r="Q41" i="1"/>
  <c r="E42" i="1"/>
  <c r="H42" i="1"/>
  <c r="I42" i="1"/>
  <c r="J42" i="1"/>
  <c r="K42" i="1"/>
  <c r="L42" i="1"/>
  <c r="N42" i="1"/>
  <c r="O42" i="1"/>
  <c r="P42" i="1"/>
  <c r="Q42" i="1"/>
  <c r="E43" i="1"/>
  <c r="H43" i="1"/>
  <c r="I43" i="1"/>
  <c r="J43" i="1"/>
  <c r="K43" i="1"/>
  <c r="L43" i="1"/>
  <c r="N43" i="1"/>
  <c r="O43" i="1"/>
  <c r="P43" i="1"/>
  <c r="Q43" i="1"/>
  <c r="E44" i="1"/>
  <c r="I44" i="1"/>
  <c r="J44" i="1"/>
  <c r="K44" i="1"/>
  <c r="L44" i="1"/>
  <c r="N44" i="1"/>
  <c r="O44" i="1"/>
  <c r="P44" i="1"/>
  <c r="Q44" i="1"/>
  <c r="E45" i="1"/>
  <c r="H45" i="1"/>
  <c r="I45" i="1"/>
  <c r="J45" i="1"/>
  <c r="K45" i="1"/>
  <c r="L45" i="1"/>
  <c r="N45" i="1"/>
  <c r="O45" i="1"/>
  <c r="P45" i="1"/>
  <c r="Q45" i="1"/>
  <c r="E46" i="1"/>
  <c r="I46" i="1"/>
  <c r="J46" i="1"/>
  <c r="K46" i="1"/>
  <c r="L46" i="1"/>
  <c r="N46" i="1"/>
  <c r="O46" i="1"/>
  <c r="P46" i="1"/>
  <c r="Q46" i="1"/>
  <c r="E47" i="1"/>
  <c r="I47" i="1"/>
  <c r="J47" i="1"/>
  <c r="K47" i="1"/>
  <c r="L47" i="1"/>
  <c r="N47" i="1"/>
  <c r="O47" i="1"/>
  <c r="P47" i="1"/>
  <c r="Q47" i="1"/>
  <c r="E48" i="1"/>
  <c r="I48" i="1"/>
  <c r="J48" i="1"/>
  <c r="K48" i="1"/>
  <c r="L48" i="1"/>
  <c r="N48" i="1"/>
  <c r="O48" i="1"/>
  <c r="P48" i="1"/>
  <c r="Q48" i="1"/>
  <c r="E49" i="1"/>
  <c r="H49" i="1"/>
  <c r="I49" i="1"/>
  <c r="J49" i="1"/>
  <c r="K49" i="1"/>
  <c r="L49" i="1"/>
  <c r="N49" i="1"/>
  <c r="O49" i="1"/>
  <c r="P49" i="1"/>
  <c r="Q49" i="1"/>
  <c r="E50" i="1"/>
  <c r="H50" i="1"/>
  <c r="I50" i="1"/>
  <c r="J50" i="1"/>
  <c r="K50" i="1"/>
  <c r="L50" i="1"/>
  <c r="N50" i="1"/>
  <c r="O50" i="1"/>
  <c r="P50" i="1"/>
  <c r="Q50" i="1"/>
  <c r="E51" i="1"/>
  <c r="H51" i="1"/>
  <c r="I51" i="1"/>
  <c r="J51" i="1"/>
  <c r="K51" i="1"/>
  <c r="L51" i="1"/>
  <c r="N51" i="1"/>
  <c r="O51" i="1"/>
  <c r="P51" i="1"/>
  <c r="Q51" i="1"/>
  <c r="E52" i="1"/>
  <c r="I52" i="1"/>
  <c r="J52" i="1"/>
  <c r="K52" i="1"/>
  <c r="L52" i="1"/>
  <c r="N52" i="1"/>
  <c r="O52" i="1"/>
  <c r="P52" i="1"/>
  <c r="Q52" i="1"/>
  <c r="E53" i="1"/>
  <c r="H53" i="1"/>
  <c r="I53" i="1"/>
  <c r="J53" i="1"/>
  <c r="K53" i="1"/>
  <c r="L53" i="1"/>
  <c r="N53" i="1"/>
  <c r="O53" i="1"/>
  <c r="P53" i="1"/>
  <c r="Q53" i="1"/>
  <c r="E54" i="1"/>
  <c r="I54" i="1"/>
  <c r="J54" i="1"/>
  <c r="K54" i="1"/>
  <c r="L54" i="1"/>
  <c r="N54" i="1"/>
  <c r="O54" i="1"/>
  <c r="P54" i="1"/>
  <c r="Q54" i="1"/>
  <c r="E55" i="1"/>
  <c r="I55" i="1"/>
  <c r="J55" i="1"/>
  <c r="K55" i="1"/>
  <c r="L55" i="1"/>
  <c r="N55" i="1"/>
  <c r="O55" i="1"/>
  <c r="P55" i="1"/>
  <c r="Q55" i="1"/>
  <c r="E56" i="1"/>
  <c r="I56" i="1"/>
  <c r="J56" i="1"/>
  <c r="K56" i="1"/>
  <c r="L56" i="1"/>
  <c r="N56" i="1"/>
  <c r="O56" i="1"/>
  <c r="P56" i="1"/>
  <c r="Q56" i="1"/>
  <c r="E57" i="1"/>
  <c r="H57" i="1"/>
  <c r="I57" i="1"/>
  <c r="J57" i="1"/>
  <c r="K57" i="1"/>
  <c r="L57" i="1"/>
  <c r="N57" i="1"/>
  <c r="O57" i="1"/>
  <c r="P57" i="1"/>
  <c r="Q57" i="1"/>
  <c r="E58" i="1"/>
  <c r="I58" i="1"/>
  <c r="J58" i="1"/>
  <c r="K58" i="1"/>
  <c r="L58" i="1"/>
  <c r="N58" i="1"/>
  <c r="O58" i="1"/>
  <c r="P58" i="1"/>
  <c r="Q58" i="1"/>
  <c r="E59" i="1"/>
  <c r="H59" i="1"/>
  <c r="I59" i="1"/>
  <c r="J59" i="1"/>
  <c r="K59" i="1"/>
  <c r="L59" i="1"/>
  <c r="N59" i="1"/>
  <c r="O59" i="1"/>
  <c r="P59" i="1"/>
  <c r="Q59" i="1"/>
  <c r="E60" i="1"/>
  <c r="H60" i="1"/>
  <c r="I60" i="1"/>
  <c r="J60" i="1"/>
  <c r="K60" i="1"/>
  <c r="L60" i="1"/>
  <c r="N60" i="1"/>
  <c r="O60" i="1"/>
  <c r="P60" i="1"/>
  <c r="Q60" i="1"/>
  <c r="E61" i="1"/>
  <c r="H61" i="1"/>
  <c r="I61" i="1"/>
  <c r="J61" i="1"/>
  <c r="K61" i="1"/>
  <c r="L61" i="1"/>
  <c r="N61" i="1"/>
  <c r="O61" i="1"/>
  <c r="P61" i="1"/>
  <c r="Q61" i="1"/>
  <c r="E62" i="1"/>
  <c r="H62" i="1"/>
  <c r="I62" i="1"/>
  <c r="J62" i="1"/>
  <c r="K62" i="1"/>
  <c r="L62" i="1"/>
  <c r="N62" i="1"/>
  <c r="O62" i="1"/>
  <c r="P62" i="1"/>
  <c r="Q62" i="1"/>
  <c r="E63" i="1"/>
  <c r="H63" i="1"/>
  <c r="I63" i="1"/>
  <c r="J63" i="1"/>
  <c r="K63" i="1"/>
  <c r="L63" i="1"/>
  <c r="N63" i="1"/>
  <c r="O63" i="1"/>
  <c r="P63" i="1"/>
  <c r="Q63" i="1"/>
  <c r="E64" i="1"/>
  <c r="I64" i="1"/>
  <c r="J64" i="1"/>
  <c r="K64" i="1"/>
  <c r="L64" i="1"/>
  <c r="N64" i="1"/>
  <c r="P64" i="1"/>
  <c r="Q64" i="1"/>
  <c r="E65" i="1"/>
  <c r="I65" i="1"/>
  <c r="J65" i="1"/>
  <c r="K65" i="1"/>
  <c r="N65" i="1"/>
  <c r="O65" i="1"/>
  <c r="Q65" i="1"/>
  <c r="E66" i="1"/>
  <c r="G66" i="1"/>
  <c r="N66" i="1"/>
  <c r="Q66" i="1"/>
  <c r="J67" i="1"/>
  <c r="O67" i="1"/>
  <c r="P67" i="1"/>
  <c r="Q67" i="1"/>
  <c r="E68" i="1"/>
  <c r="G68" i="1"/>
  <c r="H68" i="1"/>
  <c r="I68" i="1"/>
  <c r="K68" i="1"/>
  <c r="L68" i="1"/>
  <c r="O68" i="1"/>
  <c r="Q68" i="1"/>
  <c r="E3" i="1"/>
  <c r="H3" i="1"/>
  <c r="I3" i="1"/>
  <c r="J3" i="1"/>
  <c r="K3" i="1"/>
  <c r="L3" i="1"/>
  <c r="N3" i="1"/>
  <c r="O3" i="1"/>
  <c r="P3" i="1"/>
  <c r="Q3" i="1"/>
  <c r="O5" i="4"/>
  <c r="O31" i="3"/>
  <c r="O12" i="3"/>
  <c r="O10" i="3"/>
  <c r="O7" i="3"/>
  <c r="O6" i="3"/>
  <c r="O5" i="3"/>
  <c r="O4" i="3"/>
  <c r="O3" i="3"/>
  <c r="O8" i="3"/>
  <c r="O29" i="3"/>
  <c r="O26" i="3"/>
  <c r="O25" i="3"/>
  <c r="O24" i="3"/>
  <c r="O23" i="3"/>
  <c r="O22" i="3"/>
  <c r="O21" i="3"/>
  <c r="O20" i="3"/>
  <c r="O19" i="3"/>
  <c r="O18" i="3"/>
  <c r="O17" i="3"/>
  <c r="O16" i="3"/>
  <c r="O14" i="3"/>
  <c r="O13" i="3"/>
  <c r="O11" i="3"/>
  <c r="O9" i="3"/>
  <c r="O33" i="3"/>
  <c r="O15" i="3"/>
  <c r="O32" i="3"/>
  <c r="N24" i="3"/>
  <c r="N23" i="3"/>
  <c r="N22" i="3"/>
  <c r="N21" i="3"/>
  <c r="N20" i="3"/>
  <c r="N19" i="3"/>
  <c r="N18" i="3"/>
  <c r="N17" i="3"/>
  <c r="N14" i="3"/>
  <c r="N13" i="3"/>
  <c r="N12" i="3"/>
  <c r="N11" i="3"/>
  <c r="N10" i="3"/>
  <c r="N7" i="3"/>
  <c r="N6" i="3"/>
  <c r="N5" i="3"/>
  <c r="N3" i="3"/>
  <c r="N3" i="4"/>
  <c r="N25" i="3"/>
  <c r="N29" i="3"/>
  <c r="N26" i="3"/>
  <c r="N16" i="3"/>
  <c r="N9" i="3"/>
  <c r="N8" i="3"/>
  <c r="M26" i="3"/>
  <c r="M25" i="3"/>
  <c r="M24" i="3"/>
  <c r="M23" i="3"/>
  <c r="M22" i="3"/>
  <c r="M21" i="3"/>
  <c r="M20" i="3"/>
  <c r="M19" i="3"/>
  <c r="M18" i="3"/>
  <c r="M17" i="3"/>
  <c r="M16" i="3"/>
  <c r="M14" i="3"/>
  <c r="M13" i="3"/>
  <c r="M12" i="3"/>
  <c r="M11" i="3"/>
  <c r="M10" i="3"/>
  <c r="M9" i="3"/>
  <c r="M8" i="3"/>
  <c r="M7" i="3"/>
  <c r="M6" i="3"/>
  <c r="M3" i="3"/>
  <c r="M29" i="3"/>
  <c r="M15" i="3"/>
  <c r="L4" i="3"/>
  <c r="K26" i="3"/>
  <c r="K25" i="3"/>
  <c r="K24" i="3"/>
  <c r="K23" i="3"/>
  <c r="K22" i="3"/>
  <c r="K21" i="3"/>
  <c r="K20" i="3"/>
  <c r="K19" i="3"/>
  <c r="K18" i="3"/>
  <c r="K17" i="3"/>
  <c r="K16" i="3"/>
  <c r="K14" i="3"/>
  <c r="K13" i="3"/>
  <c r="K12" i="3"/>
  <c r="K11" i="3"/>
  <c r="K10" i="3"/>
  <c r="K9" i="3"/>
  <c r="K8" i="3"/>
  <c r="K7" i="3"/>
  <c r="K6" i="3"/>
  <c r="K5" i="3"/>
  <c r="K4" i="3"/>
  <c r="K3" i="3"/>
  <c r="K15" i="3"/>
  <c r="K31" i="3"/>
  <c r="K32" i="3"/>
  <c r="K27" i="3"/>
  <c r="K8" i="4"/>
  <c r="K29" i="3"/>
  <c r="K3" i="4"/>
  <c r="J16" i="3"/>
  <c r="J26" i="3"/>
  <c r="J25" i="3"/>
  <c r="J24" i="3"/>
  <c r="J23" i="3"/>
  <c r="J22" i="3"/>
  <c r="J21" i="3"/>
  <c r="J20" i="3"/>
  <c r="J19" i="3"/>
  <c r="J18" i="3"/>
  <c r="J17" i="3"/>
  <c r="J14" i="3"/>
  <c r="J13" i="3"/>
  <c r="J12" i="3"/>
  <c r="J11" i="3"/>
  <c r="J10" i="3"/>
  <c r="J9" i="3"/>
  <c r="J8" i="3"/>
  <c r="J7" i="3"/>
  <c r="J6" i="3"/>
  <c r="J5" i="3"/>
  <c r="J3" i="3"/>
  <c r="J5" i="4"/>
  <c r="J30" i="3"/>
  <c r="I3" i="4"/>
  <c r="I7" i="4"/>
  <c r="H5" i="4"/>
  <c r="H3" i="4"/>
  <c r="H7" i="4"/>
  <c r="H9" i="4"/>
  <c r="G5" i="4"/>
  <c r="G3" i="4"/>
  <c r="G7" i="4"/>
  <c r="F35" i="3"/>
  <c r="E8" i="4"/>
  <c r="E7" i="4"/>
  <c r="P7" i="4"/>
  <c r="E5" i="4"/>
  <c r="E4" i="4"/>
  <c r="E3" i="4"/>
  <c r="P4" i="4"/>
  <c r="D5" i="4"/>
  <c r="P5" i="4"/>
  <c r="P6" i="4"/>
  <c r="F9" i="4"/>
  <c r="J9" i="4"/>
  <c r="L9" i="4"/>
  <c r="N9" i="4"/>
  <c r="G9" i="4"/>
  <c r="I9" i="4"/>
  <c r="K9" i="4"/>
  <c r="M9" i="4"/>
  <c r="O9" i="4"/>
  <c r="D8" i="4"/>
  <c r="P8" i="4"/>
  <c r="D3" i="4"/>
  <c r="D9" i="4"/>
  <c r="E4" i="3"/>
  <c r="P4" i="3"/>
  <c r="E6" i="3"/>
  <c r="P6" i="3"/>
  <c r="E12" i="3"/>
  <c r="P12" i="3"/>
  <c r="E18" i="3"/>
  <c r="P18" i="3"/>
  <c r="E20" i="3"/>
  <c r="P20" i="3"/>
  <c r="E22" i="3"/>
  <c r="P22" i="3"/>
  <c r="P28" i="3"/>
  <c r="P29" i="3"/>
  <c r="P30" i="3"/>
  <c r="P33" i="3"/>
  <c r="P34" i="3"/>
  <c r="E32" i="3"/>
  <c r="P32" i="3"/>
  <c r="E31" i="3"/>
  <c r="P31" i="3"/>
  <c r="E27" i="3"/>
  <c r="P27" i="3"/>
  <c r="E26" i="3"/>
  <c r="P26" i="3"/>
  <c r="E25" i="3"/>
  <c r="P25" i="3"/>
  <c r="E24" i="3"/>
  <c r="P24" i="3"/>
  <c r="E23" i="3"/>
  <c r="P23" i="3"/>
  <c r="E21" i="3"/>
  <c r="P21" i="3"/>
  <c r="E19" i="3"/>
  <c r="P19" i="3"/>
  <c r="E17" i="3"/>
  <c r="E16" i="3"/>
  <c r="P16" i="3"/>
  <c r="E15" i="3"/>
  <c r="P15" i="3"/>
  <c r="E14" i="3"/>
  <c r="P14" i="3"/>
  <c r="E13" i="3"/>
  <c r="P13" i="3"/>
  <c r="E11" i="3"/>
  <c r="P11" i="3"/>
  <c r="E10" i="3"/>
  <c r="P10" i="3"/>
  <c r="E9" i="3"/>
  <c r="P9" i="3"/>
  <c r="E8" i="3"/>
  <c r="P8" i="3"/>
  <c r="E7" i="3"/>
  <c r="P7" i="3"/>
  <c r="E5" i="3"/>
  <c r="P5" i="3"/>
  <c r="E3" i="3"/>
  <c r="P3" i="3"/>
  <c r="G69" i="1"/>
  <c r="G35" i="3"/>
  <c r="H35" i="3"/>
  <c r="I35" i="3"/>
  <c r="J35" i="3"/>
  <c r="K35" i="3"/>
  <c r="L35" i="3"/>
  <c r="M35" i="3"/>
  <c r="O35" i="3"/>
  <c r="D35" i="3"/>
  <c r="B35" i="3"/>
  <c r="Q69" i="1"/>
  <c r="F69" i="1"/>
  <c r="H69" i="1"/>
  <c r="J69" i="1"/>
  <c r="L69" i="1"/>
  <c r="N69" i="1"/>
  <c r="P69" i="1"/>
  <c r="I69" i="1"/>
  <c r="K69" i="1"/>
  <c r="M69" i="1"/>
  <c r="O69" i="1"/>
  <c r="E35" i="3"/>
  <c r="E9" i="4"/>
  <c r="P3" i="4"/>
  <c r="P9" i="4"/>
  <c r="E69" i="1"/>
  <c r="N35" i="3"/>
  <c r="P17" i="3"/>
  <c r="P35" i="3"/>
</calcChain>
</file>

<file path=xl/sharedStrings.xml><?xml version="1.0" encoding="utf-8"?>
<sst xmlns="http://schemas.openxmlformats.org/spreadsheetml/2006/main" count="187" uniqueCount="119">
  <si>
    <t>EXTRANJEROS</t>
  </si>
  <si>
    <t>PAIS</t>
  </si>
  <si>
    <t>TOTAL</t>
  </si>
  <si>
    <t>Austria</t>
  </si>
  <si>
    <t>Australia</t>
  </si>
  <si>
    <t>Belgica</t>
  </si>
  <si>
    <t>Bulgaria</t>
  </si>
  <si>
    <t>Bolivia</t>
  </si>
  <si>
    <t>Brasil</t>
  </si>
  <si>
    <t>Canada</t>
  </si>
  <si>
    <t>Suiza</t>
  </si>
  <si>
    <t>Chile</t>
  </si>
  <si>
    <t>China</t>
  </si>
  <si>
    <t>Colombia</t>
  </si>
  <si>
    <t>Costa Rica</t>
  </si>
  <si>
    <t>Republica Checa</t>
  </si>
  <si>
    <t>Alemania</t>
  </si>
  <si>
    <t>Dinamarca</t>
  </si>
  <si>
    <t>Republica Dominicana</t>
  </si>
  <si>
    <t>Ecuador</t>
  </si>
  <si>
    <t>España</t>
  </si>
  <si>
    <t>Finlandia</t>
  </si>
  <si>
    <t>Francia</t>
  </si>
  <si>
    <t>Escocia</t>
  </si>
  <si>
    <t>Grecia</t>
  </si>
  <si>
    <t>Guatemala</t>
  </si>
  <si>
    <t>HONG KONG</t>
  </si>
  <si>
    <t>Honduras</t>
  </si>
  <si>
    <t>Croacia</t>
  </si>
  <si>
    <t>Hungria</t>
  </si>
  <si>
    <t>Indonesia</t>
  </si>
  <si>
    <t>Irlanda</t>
  </si>
  <si>
    <t>Israel</t>
  </si>
  <si>
    <t>India</t>
  </si>
  <si>
    <t>Italia</t>
  </si>
  <si>
    <t>Jamaica</t>
  </si>
  <si>
    <t>Japon</t>
  </si>
  <si>
    <t>Corea del Norte</t>
  </si>
  <si>
    <t>Corea del Sur</t>
  </si>
  <si>
    <t>Mexico</t>
  </si>
  <si>
    <t>Holanda</t>
  </si>
  <si>
    <t>Otros</t>
  </si>
  <si>
    <t>Noruega</t>
  </si>
  <si>
    <t>Nueva Zelanda</t>
  </si>
  <si>
    <t>Panama</t>
  </si>
  <si>
    <t>Peru</t>
  </si>
  <si>
    <t>Pakistan</t>
  </si>
  <si>
    <t>Polonia</t>
  </si>
  <si>
    <t>Puerto Rico</t>
  </si>
  <si>
    <t>Portugal</t>
  </si>
  <si>
    <t>Paraguay</t>
  </si>
  <si>
    <t>Rusia</t>
  </si>
  <si>
    <t>Suecia</t>
  </si>
  <si>
    <t>Singapur</t>
  </si>
  <si>
    <t>Eslovenia</t>
  </si>
  <si>
    <t>Eslovaquia</t>
  </si>
  <si>
    <t>Tailandia</t>
  </si>
  <si>
    <t>Turquia</t>
  </si>
  <si>
    <t>Taiwan</t>
  </si>
  <si>
    <t>Ucrania</t>
  </si>
  <si>
    <t>Reino Unido</t>
  </si>
  <si>
    <t>Estados Unidos</t>
  </si>
  <si>
    <t>Uruguay</t>
  </si>
  <si>
    <t>Venezuela</t>
  </si>
  <si>
    <t>Vietnam</t>
  </si>
  <si>
    <t>Sudafrica</t>
  </si>
  <si>
    <t>Protocolares</t>
  </si>
  <si>
    <t>Menores de 6 años</t>
  </si>
  <si>
    <t>Discapacitados</t>
  </si>
  <si>
    <t>Total 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</si>
  <si>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</si>
  <si>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</si>
  <si>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</si>
  <si>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</si>
  <si>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</si>
  <si>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</si>
  <si>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</si>
  <si>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</si>
  <si>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</si>
  <si>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</si>
  <si>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</si>
  <si>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</si>
  <si>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ARGENTINOS</t>
  </si>
  <si>
    <t>PROVINCIA</t>
  </si>
  <si>
    <t>Salta</t>
  </si>
  <si>
    <t>Buenos Aires</t>
  </si>
  <si>
    <t>CABA (Cap.Fed.)</t>
  </si>
  <si>
    <t>San luis</t>
  </si>
  <si>
    <t>Entre Rios</t>
  </si>
  <si>
    <t>La Rioja</t>
  </si>
  <si>
    <t>Santiago del Estero</t>
  </si>
  <si>
    <t>Chaco</t>
  </si>
  <si>
    <t>San Juan</t>
  </si>
  <si>
    <t>Catamarca</t>
  </si>
  <si>
    <t>La Pampa</t>
  </si>
  <si>
    <t>Mendoza</t>
  </si>
  <si>
    <t>Misiones</t>
  </si>
  <si>
    <t>Formosa</t>
  </si>
  <si>
    <t>Neuquen</t>
  </si>
  <si>
    <t>Rio Negro</t>
  </si>
  <si>
    <t>Santa Fe</t>
  </si>
  <si>
    <t>Tucuman</t>
  </si>
  <si>
    <t>Chubut</t>
  </si>
  <si>
    <t>Tierra del Fuego</t>
  </si>
  <si>
    <t>Corrientes</t>
  </si>
  <si>
    <t>Cordoba</t>
  </si>
  <si>
    <t>Jujuy</t>
  </si>
  <si>
    <t>Santa Cruz</t>
  </si>
  <si>
    <t>Jubilados</t>
  </si>
  <si>
    <t>Sin Identificar</t>
  </si>
  <si>
    <t>Guías Argentinos</t>
  </si>
  <si>
    <t>Menores de 6</t>
  </si>
  <si>
    <t>Choferes</t>
  </si>
  <si>
    <t>Excursión Escolar Educativa</t>
  </si>
  <si>
    <t>Total ARGENTINOS</t>
  </si>
  <si>
    <t>TOTAL 2023</t>
  </si>
  <si>
    <t>RESIDENTES DE BRASIL</t>
  </si>
  <si>
    <t>Guías</t>
  </si>
  <si>
    <t>Total MERCOSUR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</si>
</sst>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2C0A]General"/>
  </numFmts>
  <fonts count="8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Tahoma"/>
      <family val="2"/>
    </font>
    <font>
      <sz val="9"/>
      <name val="Gotham"/>
      <family val="3"/>
    </font>
    <font>
      <sz val="11"/>
      <name val="Gotham"/>
      <family val="3"/>
    </font>
    <font>
      <sz val="10"/>
      <name val="Gotham"/>
      <family val="3"/>
    </font>
    <font>
      <sz val="12"/>
      <name val="Gotham"/>
      <family val="3"/>
    </font>
    <font>
      <sz val="9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ck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164" fontId="2" fillId="0" borderId="8" xfId="0" applyNumberFormat="1" applyFont="1" applyBorder="1" applyAlignment="1">
      <alignment horizontal="right" vertical="center" wrapText="1" readingOrder="1"/>
    </xf>
    <xf numFmtId="0" fontId="4" fillId="0" borderId="0" xfId="0" applyFont="1" applyAlignment="1">
      <alignment horizontal="left"/>
    </xf>
    <xf numFmtId="164" fontId="3" fillId="0" borderId="8" xfId="0" applyNumberFormat="1" applyFont="1" applyBorder="1" applyAlignment="1">
      <alignment horizontal="right" vertical="center" wrapText="1" readingOrder="1"/>
    </xf>
    <xf numFmtId="164" fontId="4" fillId="2" borderId="8" xfId="0" applyNumberFormat="1" applyFont="1" applyFill="1" applyBorder="1" applyAlignment="1">
      <alignment horizontal="right" vertical="center" wrapText="1" readingOrder="1"/>
    </xf>
    <xf numFmtId="164" fontId="3" fillId="0" borderId="5" xfId="0" applyNumberFormat="1" applyFont="1" applyBorder="1" applyAlignment="1">
      <alignment horizontal="right" vertical="center" wrapText="1" readingOrder="1"/>
    </xf>
    <xf numFmtId="0" fontId="5" fillId="3" borderId="13" xfId="0" applyFont="1" applyFill="1" applyBorder="1" applyAlignment="1">
      <alignment horizontal="center" vertical="center" wrapText="1" readingOrder="1"/>
    </xf>
    <xf numFmtId="0" fontId="5" fillId="3" borderId="14" xfId="0" applyFont="1" applyFill="1" applyBorder="1" applyAlignment="1">
      <alignment horizontal="center" vertical="center" wrapText="1" readingOrder="1"/>
    </xf>
    <xf numFmtId="164" fontId="4" fillId="3" borderId="8" xfId="0" applyNumberFormat="1" applyFont="1" applyFill="1" applyBorder="1" applyAlignment="1">
      <alignment horizontal="right" vertical="center" wrapText="1" readingOrder="1"/>
    </xf>
    <xf numFmtId="0" fontId="6" fillId="0" borderId="0" xfId="0" applyFont="1"/>
    <xf numFmtId="164" fontId="2" fillId="0" borderId="5" xfId="0" applyNumberFormat="1" applyFont="1" applyBorder="1" applyAlignment="1">
      <alignment horizontal="right" vertical="center" wrapText="1" readingOrder="1"/>
    </xf>
    <xf numFmtId="164" fontId="7" fillId="0" borderId="8" xfId="0" applyNumberFormat="1" applyFont="1" applyBorder="1" applyAlignment="1">
      <alignment horizontal="right" vertical="center" wrapText="1" readingOrder="1"/>
    </xf>
    <xf numFmtId="0" fontId="3" fillId="0" borderId="6" xfId="0" applyFont="1" applyBorder="1" applyAlignment="1">
      <alignment horizontal="left" vertical="center" wrapText="1" readingOrder="1"/>
    </xf>
    <xf numFmtId="0" fontId="3" fillId="0" borderId="7" xfId="0" applyFont="1" applyBorder="1" applyAlignment="1">
      <alignment horizontal="left" vertical="center" wrapText="1" readingOrder="1"/>
    </xf>
    <xf numFmtId="0" fontId="4" fillId="2" borderId="6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3" borderId="0" xfId="0" applyFont="1" applyFill="1" applyBorder="1" applyAlignment="1">
      <alignment horizontal="center" vertical="center" wrapText="1" readingOrder="1"/>
    </xf>
    <xf numFmtId="0" fontId="5" fillId="3" borderId="12" xfId="0" applyFont="1" applyFill="1" applyBorder="1" applyAlignment="1">
      <alignment horizontal="center" vertical="center" wrapText="1" readingOrder="1"/>
    </xf>
    <xf numFmtId="0" fontId="5" fillId="3" borderId="13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0" fontId="3" fillId="0" borderId="3" xfId="0" applyFont="1" applyBorder="1" applyAlignment="1">
      <alignment horizontal="left" vertical="center" wrapText="1" readingOrder="1"/>
    </xf>
    <xf numFmtId="0" fontId="3" fillId="0" borderId="15" xfId="0" applyFont="1" applyBorder="1" applyAlignment="1">
      <alignment horizontal="left" vertical="center" wrapText="1" readingOrder="1"/>
    </xf>
    <xf numFmtId="0" fontId="4" fillId="3" borderId="6" xfId="0" applyFont="1" applyFill="1" applyBorder="1" applyAlignment="1">
      <alignment horizontal="center" vertical="center" wrapText="1" readingOrder="1"/>
    </xf>
    <xf numFmtId="0" fontId="4" fillId="3" borderId="7" xfId="0" applyFont="1" applyFill="1" applyBorder="1" applyAlignment="1">
      <alignment horizontal="center" vertical="center" wrapText="1" readingOrder="1"/>
    </xf>
    <xf numFmtId="0" fontId="3" fillId="3" borderId="9" xfId="0" applyFont="1" applyFill="1" applyBorder="1" applyAlignment="1">
      <alignment horizontal="center" vertical="center" wrapText="1" readingOrder="1"/>
    </xf>
    <xf numFmtId="0" fontId="3" fillId="3" borderId="10" xfId="0" applyFont="1" applyFill="1" applyBorder="1" applyAlignment="1">
      <alignment horizontal="center" vertical="center" wrapText="1" readingOrder="1"/>
    </xf>
    <xf numFmtId="0" fontId="3" fillId="3" borderId="11" xfId="0" applyFont="1" applyFill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left" vertical="center" wrapText="1" readingOrder="1"/>
    </xf>
  </cellXfs>
  <cellStyles count="2">
    <cellStyle name="Normal" xfId="0" builtinId="0"/>
    <cellStyle name="Normal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externalLink" Target="externalLinks/externalLink1.xml" 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Volumes/PAOLA/Proforma%20N%2015_V00no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tem"/>
      <sheetName val="Licitación Privada"/>
      <sheetName val="Hoja1"/>
      <sheetName val="A.B."/>
      <sheetName val="Proforma"/>
      <sheetName val="PESOS EN LETRAS"/>
      <sheetName val="Proforma (2)"/>
      <sheetName val="Licitación Privada (2)"/>
      <sheetName val="Presupuesto"/>
      <sheetName val="Contra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9"/>
  <sheetViews>
    <sheetView tabSelected="1" topLeftCell="B50" zoomScaleNormal="100" zoomScalePageLayoutView="180" workbookViewId="0">
      <selection activeCell="Q3" sqref="Q3:Q68"/>
    </sheetView>
  </sheetViews>
  <sheetFormatPr defaultColWidth="10.97265625" defaultRowHeight="15" x14ac:dyDescent="0.2"/>
  <cols>
    <col min="1" max="6" width="10.97265625" style="2"/>
    <col min="7" max="7" width="8.3828125" style="2" customWidth="1"/>
    <col min="8" max="8" width="8.5078125" style="2" customWidth="1"/>
    <col min="9" max="9" width="7.890625" style="2" customWidth="1"/>
    <col min="10" max="11" width="7.765625" style="2" customWidth="1"/>
    <col min="12" max="12" width="9.4921875" style="2" customWidth="1"/>
    <col min="13" max="13" width="11.58984375" style="2" customWidth="1"/>
    <col min="14" max="14" width="10.97265625" style="2"/>
    <col min="15" max="15" width="11.58984375" style="2" customWidth="1"/>
    <col min="16" max="16384" width="10.97265625" style="2"/>
  </cols>
  <sheetData>
    <row r="1" spans="1:17" ht="15" customHeight="1" thickBo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15.75" thickBot="1" x14ac:dyDescent="0.25">
      <c r="A2" s="18" t="s">
        <v>1</v>
      </c>
      <c r="B2" s="19"/>
      <c r="C2" s="19"/>
      <c r="D2" s="19"/>
      <c r="E2" s="6" t="s">
        <v>70</v>
      </c>
      <c r="F2" s="6" t="s">
        <v>71</v>
      </c>
      <c r="G2" s="6" t="s">
        <v>72</v>
      </c>
      <c r="H2" s="6" t="s">
        <v>73</v>
      </c>
      <c r="I2" s="6" t="s">
        <v>74</v>
      </c>
      <c r="J2" s="6" t="s">
        <v>75</v>
      </c>
      <c r="K2" s="6" t="s">
        <v>76</v>
      </c>
      <c r="L2" s="6" t="s">
        <v>77</v>
      </c>
      <c r="M2" s="6" t="s">
        <v>78</v>
      </c>
      <c r="N2" s="6" t="s">
        <v>79</v>
      </c>
      <c r="O2" s="6" t="s">
        <v>80</v>
      </c>
      <c r="P2" s="7" t="s">
        <v>81</v>
      </c>
      <c r="Q2" s="7" t="s">
        <v>2</v>
      </c>
    </row>
    <row r="3" spans="1:17" ht="16.5" thickTop="1" thickBot="1" x14ac:dyDescent="0.25">
      <c r="A3" s="20" t="s">
        <v>3</v>
      </c>
      <c r="B3" s="21"/>
      <c r="C3" s="21"/>
      <c r="D3" s="21"/>
      <c r="E3" s="5">
        <f>130+3</f>
        <v>133</v>
      </c>
      <c r="F3" s="5">
        <v>113</v>
      </c>
      <c r="G3" s="5">
        <v>110</v>
      </c>
      <c r="H3" s="5">
        <f>80+1+2+1</f>
        <v>84</v>
      </c>
      <c r="I3" s="5">
        <f>41+2+2</f>
        <v>45</v>
      </c>
      <c r="J3" s="5">
        <f>26</f>
        <v>26</v>
      </c>
      <c r="K3" s="5">
        <f>40</f>
        <v>40</v>
      </c>
      <c r="L3" s="5">
        <f>84+11+2</f>
        <v>97</v>
      </c>
      <c r="M3" s="5">
        <v>62</v>
      </c>
      <c r="N3" s="5">
        <f>164+1</f>
        <v>165</v>
      </c>
      <c r="O3" s="5">
        <f>101+1+2</f>
        <v>104</v>
      </c>
      <c r="P3" s="5">
        <f>71</f>
        <v>71</v>
      </c>
      <c r="Q3" s="5">
        <f>SUM(E3:P3)</f>
        <v>1050</v>
      </c>
    </row>
    <row r="4" spans="1:17" ht="15.75" thickBot="1" x14ac:dyDescent="0.25">
      <c r="A4" s="12" t="s">
        <v>4</v>
      </c>
      <c r="B4" s="13"/>
      <c r="C4" s="13"/>
      <c r="D4" s="13"/>
      <c r="E4" s="3">
        <f>664+25</f>
        <v>689</v>
      </c>
      <c r="F4" s="3">
        <v>686</v>
      </c>
      <c r="G4" s="3">
        <v>487</v>
      </c>
      <c r="H4" s="3">
        <f>296+12+14+2</f>
        <v>324</v>
      </c>
      <c r="I4" s="3">
        <f>273+9+20</f>
        <v>302</v>
      </c>
      <c r="J4" s="3">
        <f>212+6+4</f>
        <v>222</v>
      </c>
      <c r="K4" s="3">
        <f>114+8</f>
        <v>122</v>
      </c>
      <c r="L4" s="3">
        <f>158+6</f>
        <v>164</v>
      </c>
      <c r="M4" s="3">
        <v>320</v>
      </c>
      <c r="N4" s="3">
        <f>230+9</f>
        <v>239</v>
      </c>
      <c r="O4" s="3">
        <f>299+22+2</f>
        <v>323</v>
      </c>
      <c r="P4" s="3">
        <f>487</f>
        <v>487</v>
      </c>
      <c r="Q4" s="5">
        <f t="shared" ref="Q4:Q67" si="0">SUM(E4:P4)</f>
        <v>4365</v>
      </c>
    </row>
    <row r="5" spans="1:17" ht="15.75" thickBot="1" x14ac:dyDescent="0.25">
      <c r="A5" s="12" t="s">
        <v>5</v>
      </c>
      <c r="B5" s="13"/>
      <c r="C5" s="13"/>
      <c r="D5" s="13"/>
      <c r="E5" s="3">
        <f>166+16</f>
        <v>182</v>
      </c>
      <c r="F5" s="3">
        <v>244</v>
      </c>
      <c r="G5" s="3">
        <v>311</v>
      </c>
      <c r="H5" s="3">
        <f>257+27</f>
        <v>284</v>
      </c>
      <c r="I5" s="3">
        <f>157+20+1</f>
        <v>178</v>
      </c>
      <c r="J5" s="3">
        <f>80+9</f>
        <v>89</v>
      </c>
      <c r="K5" s="3">
        <f>224+65</f>
        <v>289</v>
      </c>
      <c r="L5" s="3">
        <f>145+37</f>
        <v>182</v>
      </c>
      <c r="M5" s="3">
        <v>175</v>
      </c>
      <c r="N5" s="3">
        <f>166+5</f>
        <v>171</v>
      </c>
      <c r="O5" s="3">
        <f>274+6+2</f>
        <v>282</v>
      </c>
      <c r="P5" s="3">
        <f>166</f>
        <v>166</v>
      </c>
      <c r="Q5" s="5">
        <f t="shared" si="0"/>
        <v>2553</v>
      </c>
    </row>
    <row r="6" spans="1:17" ht="15.75" thickBot="1" x14ac:dyDescent="0.25">
      <c r="A6" s="12" t="s">
        <v>6</v>
      </c>
      <c r="B6" s="13"/>
      <c r="C6" s="13"/>
      <c r="D6" s="13"/>
      <c r="E6" s="3">
        <f>55+1</f>
        <v>56</v>
      </c>
      <c r="F6" s="3">
        <v>75</v>
      </c>
      <c r="G6" s="3">
        <v>103</v>
      </c>
      <c r="H6" s="3">
        <f>102+3</f>
        <v>105</v>
      </c>
      <c r="I6" s="3">
        <f>45</f>
        <v>45</v>
      </c>
      <c r="J6" s="3">
        <f>32+1</f>
        <v>33</v>
      </c>
      <c r="K6" s="3">
        <f>4+3</f>
        <v>7</v>
      </c>
      <c r="L6" s="3">
        <f>10</f>
        <v>10</v>
      </c>
      <c r="M6" s="3">
        <v>25</v>
      </c>
      <c r="N6" s="3">
        <f>63+2</f>
        <v>65</v>
      </c>
      <c r="O6" s="3">
        <f>63</f>
        <v>63</v>
      </c>
      <c r="P6" s="3">
        <f>77</f>
        <v>77</v>
      </c>
      <c r="Q6" s="5">
        <f t="shared" si="0"/>
        <v>664</v>
      </c>
    </row>
    <row r="7" spans="1:17" ht="15.75" thickBot="1" x14ac:dyDescent="0.25">
      <c r="A7" s="12" t="s">
        <v>7</v>
      </c>
      <c r="B7" s="13"/>
      <c r="C7" s="13"/>
      <c r="D7" s="13"/>
      <c r="E7" s="3">
        <f>801+140</f>
        <v>941</v>
      </c>
      <c r="F7" s="3">
        <v>462</v>
      </c>
      <c r="G7" s="3">
        <v>168</v>
      </c>
      <c r="H7" s="3">
        <f>179+2</f>
        <v>181</v>
      </c>
      <c r="I7" s="3">
        <f>202+9+1</f>
        <v>212</v>
      </c>
      <c r="J7" s="3">
        <f>92+6</f>
        <v>98</v>
      </c>
      <c r="K7" s="3">
        <f>419+78</f>
        <v>497</v>
      </c>
      <c r="L7" s="3">
        <f>232+19</f>
        <v>251</v>
      </c>
      <c r="M7" s="3">
        <v>186</v>
      </c>
      <c r="N7" s="3">
        <f>130+1</f>
        <v>131</v>
      </c>
      <c r="O7" s="3">
        <f>215+4</f>
        <v>219</v>
      </c>
      <c r="P7" s="3">
        <f>272</f>
        <v>272</v>
      </c>
      <c r="Q7" s="5">
        <f t="shared" si="0"/>
        <v>3618</v>
      </c>
    </row>
    <row r="8" spans="1:17" ht="15.75" thickBot="1" x14ac:dyDescent="0.25">
      <c r="A8" s="12" t="s">
        <v>8</v>
      </c>
      <c r="B8" s="13"/>
      <c r="C8" s="13"/>
      <c r="D8" s="13"/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f>6629</f>
        <v>6629</v>
      </c>
      <c r="Q8" s="5">
        <f t="shared" si="0"/>
        <v>6629</v>
      </c>
    </row>
    <row r="9" spans="1:17" ht="15.75" thickBot="1" x14ac:dyDescent="0.25">
      <c r="A9" s="12" t="s">
        <v>9</v>
      </c>
      <c r="B9" s="13"/>
      <c r="C9" s="13"/>
      <c r="D9" s="13"/>
      <c r="E9" s="3">
        <f>759+28</f>
        <v>787</v>
      </c>
      <c r="F9" s="3">
        <v>883</v>
      </c>
      <c r="G9" s="3">
        <v>965</v>
      </c>
      <c r="H9" s="3">
        <f>418+19+7</f>
        <v>444</v>
      </c>
      <c r="I9" s="3">
        <f>328+7+1</f>
        <v>336</v>
      </c>
      <c r="J9" s="3">
        <f>118+13+3</f>
        <v>134</v>
      </c>
      <c r="K9" s="3">
        <f>211+43</f>
        <v>254</v>
      </c>
      <c r="L9" s="3">
        <f>255+39</f>
        <v>294</v>
      </c>
      <c r="M9" s="3">
        <v>171</v>
      </c>
      <c r="N9" s="3">
        <f>243+10</f>
        <v>253</v>
      </c>
      <c r="O9" s="3">
        <f>554+14+4</f>
        <v>572</v>
      </c>
      <c r="P9" s="3">
        <f>572</f>
        <v>572</v>
      </c>
      <c r="Q9" s="5">
        <f t="shared" si="0"/>
        <v>5665</v>
      </c>
    </row>
    <row r="10" spans="1:17" ht="15.75" thickBot="1" x14ac:dyDescent="0.25">
      <c r="A10" s="12" t="s">
        <v>10</v>
      </c>
      <c r="B10" s="13"/>
      <c r="C10" s="13"/>
      <c r="D10" s="13"/>
      <c r="E10" s="3">
        <f>315+24</f>
        <v>339</v>
      </c>
      <c r="F10" s="3">
        <v>306</v>
      </c>
      <c r="G10" s="3">
        <v>326</v>
      </c>
      <c r="H10" s="3">
        <f>289+31+2</f>
        <v>322</v>
      </c>
      <c r="I10" s="3">
        <f>201+9+5</f>
        <v>215</v>
      </c>
      <c r="J10" s="3">
        <f>77</f>
        <v>77</v>
      </c>
      <c r="K10" s="3">
        <f>152+41</f>
        <v>193</v>
      </c>
      <c r="L10" s="3">
        <f>146+21+1</f>
        <v>168</v>
      </c>
      <c r="M10" s="3">
        <v>147</v>
      </c>
      <c r="N10" s="3">
        <f>209+16</f>
        <v>225</v>
      </c>
      <c r="O10" s="3">
        <f>352+2+6</f>
        <v>360</v>
      </c>
      <c r="P10" s="3">
        <f>285</f>
        <v>285</v>
      </c>
      <c r="Q10" s="5">
        <f t="shared" si="0"/>
        <v>2963</v>
      </c>
    </row>
    <row r="11" spans="1:17" ht="15.75" thickBot="1" x14ac:dyDescent="0.25">
      <c r="A11" s="12" t="s">
        <v>11</v>
      </c>
      <c r="B11" s="13"/>
      <c r="C11" s="13"/>
      <c r="D11" s="13"/>
      <c r="E11" s="3">
        <f>817+150</f>
        <v>967</v>
      </c>
      <c r="F11" s="3">
        <v>1534</v>
      </c>
      <c r="G11" s="3">
        <v>963</v>
      </c>
      <c r="H11" s="3">
        <f>845+44+3</f>
        <v>892</v>
      </c>
      <c r="I11" s="3">
        <f>866+71</f>
        <v>937</v>
      </c>
      <c r="J11" s="3">
        <f>665+40</f>
        <v>705</v>
      </c>
      <c r="K11" s="3">
        <f>688+134</f>
        <v>822</v>
      </c>
      <c r="L11" s="3">
        <f>636+45</f>
        <v>681</v>
      </c>
      <c r="M11" s="3">
        <v>885</v>
      </c>
      <c r="N11" s="3">
        <f>639+50</f>
        <v>689</v>
      </c>
      <c r="O11" s="3">
        <f>465+28+6</f>
        <v>499</v>
      </c>
      <c r="P11" s="3">
        <f>419</f>
        <v>419</v>
      </c>
      <c r="Q11" s="5">
        <f t="shared" si="0"/>
        <v>9993</v>
      </c>
    </row>
    <row r="12" spans="1:17" ht="15.75" thickBot="1" x14ac:dyDescent="0.25">
      <c r="A12" s="12" t="s">
        <v>12</v>
      </c>
      <c r="B12" s="13"/>
      <c r="C12" s="13"/>
      <c r="D12" s="13"/>
      <c r="E12" s="3">
        <f>176+3</f>
        <v>179</v>
      </c>
      <c r="F12" s="3">
        <v>225</v>
      </c>
      <c r="G12" s="3">
        <v>179</v>
      </c>
      <c r="H12" s="3">
        <f>143+5+3</f>
        <v>151</v>
      </c>
      <c r="I12" s="3">
        <f>127+5+14</f>
        <v>146</v>
      </c>
      <c r="J12" s="3">
        <f>74+1</f>
        <v>75</v>
      </c>
      <c r="K12" s="3">
        <f>99+12</f>
        <v>111</v>
      </c>
      <c r="L12" s="3">
        <f>186+22</f>
        <v>208</v>
      </c>
      <c r="M12" s="3">
        <v>202</v>
      </c>
      <c r="N12" s="3">
        <f>200+1</f>
        <v>201</v>
      </c>
      <c r="O12" s="3">
        <f>333+21</f>
        <v>354</v>
      </c>
      <c r="P12" s="3">
        <f>525</f>
        <v>525</v>
      </c>
      <c r="Q12" s="5">
        <f t="shared" si="0"/>
        <v>2556</v>
      </c>
    </row>
    <row r="13" spans="1:17" ht="15.75" thickBot="1" x14ac:dyDescent="0.25">
      <c r="A13" s="12" t="s">
        <v>13</v>
      </c>
      <c r="B13" s="13"/>
      <c r="C13" s="13"/>
      <c r="D13" s="13"/>
      <c r="E13" s="3">
        <f>1341+124</f>
        <v>1465</v>
      </c>
      <c r="F13" s="3">
        <v>545</v>
      </c>
      <c r="G13" s="3">
        <v>889</v>
      </c>
      <c r="H13" s="3">
        <f>1292+53+2</f>
        <v>1347</v>
      </c>
      <c r="I13" s="3">
        <f>892+16+4</f>
        <v>912</v>
      </c>
      <c r="J13" s="3">
        <f>1052+79+2+3</f>
        <v>1136</v>
      </c>
      <c r="K13" s="3">
        <f>828+102</f>
        <v>930</v>
      </c>
      <c r="L13" s="3">
        <f>757+44+6</f>
        <v>807</v>
      </c>
      <c r="M13" s="3">
        <v>1016</v>
      </c>
      <c r="N13" s="3">
        <f>1467+64</f>
        <v>1531</v>
      </c>
      <c r="O13" s="3">
        <f>1073+24+3</f>
        <v>1100</v>
      </c>
      <c r="P13" s="3">
        <f>1343</f>
        <v>1343</v>
      </c>
      <c r="Q13" s="5">
        <f t="shared" si="0"/>
        <v>13021</v>
      </c>
    </row>
    <row r="14" spans="1:17" ht="15.75" thickBot="1" x14ac:dyDescent="0.25">
      <c r="A14" s="12" t="s">
        <v>14</v>
      </c>
      <c r="B14" s="13"/>
      <c r="C14" s="13"/>
      <c r="D14" s="13"/>
      <c r="E14" s="3">
        <f>255+25</f>
        <v>280</v>
      </c>
      <c r="F14" s="3">
        <v>94</v>
      </c>
      <c r="G14" s="3">
        <v>162</v>
      </c>
      <c r="H14" s="3">
        <f>256+6+2</f>
        <v>264</v>
      </c>
      <c r="I14" s="3">
        <f>166+1+2</f>
        <v>169</v>
      </c>
      <c r="J14" s="3">
        <f>58+1</f>
        <v>59</v>
      </c>
      <c r="K14" s="3">
        <f>139+12</f>
        <v>151</v>
      </c>
      <c r="L14" s="3">
        <f>82+1</f>
        <v>83</v>
      </c>
      <c r="M14" s="3">
        <v>277</v>
      </c>
      <c r="N14" s="3">
        <f>179+1</f>
        <v>180</v>
      </c>
      <c r="O14" s="3">
        <f>139+2</f>
        <v>141</v>
      </c>
      <c r="P14" s="3">
        <f>1874</f>
        <v>1874</v>
      </c>
      <c r="Q14" s="5">
        <f t="shared" si="0"/>
        <v>3734</v>
      </c>
    </row>
    <row r="15" spans="1:17" ht="15.75" thickBot="1" x14ac:dyDescent="0.25">
      <c r="A15" s="12" t="s">
        <v>15</v>
      </c>
      <c r="B15" s="13"/>
      <c r="C15" s="13"/>
      <c r="D15" s="13"/>
      <c r="E15" s="3">
        <f>50</f>
        <v>50</v>
      </c>
      <c r="F15" s="3">
        <v>65</v>
      </c>
      <c r="G15" s="3">
        <v>200</v>
      </c>
      <c r="H15" s="3">
        <v>78</v>
      </c>
      <c r="I15" s="3">
        <f>33+2</f>
        <v>35</v>
      </c>
      <c r="J15" s="3">
        <f>10</f>
        <v>10</v>
      </c>
      <c r="K15" s="3">
        <f>30+1</f>
        <v>31</v>
      </c>
      <c r="L15" s="3">
        <f>37+1</f>
        <v>38</v>
      </c>
      <c r="M15" s="3">
        <v>45</v>
      </c>
      <c r="N15" s="3">
        <f>58</f>
        <v>58</v>
      </c>
      <c r="O15" s="3">
        <f>160</f>
        <v>160</v>
      </c>
      <c r="P15" s="3">
        <f>52</f>
        <v>52</v>
      </c>
      <c r="Q15" s="5">
        <f t="shared" si="0"/>
        <v>822</v>
      </c>
    </row>
    <row r="16" spans="1:17" ht="15.75" thickBot="1" x14ac:dyDescent="0.25">
      <c r="A16" s="12" t="s">
        <v>16</v>
      </c>
      <c r="B16" s="13"/>
      <c r="C16" s="13"/>
      <c r="D16" s="13"/>
      <c r="E16" s="3">
        <f>1440+26</f>
        <v>1466</v>
      </c>
      <c r="F16" s="3">
        <v>1414</v>
      </c>
      <c r="G16" s="3">
        <v>1723</v>
      </c>
      <c r="H16" s="3">
        <f>1182+112+19+1</f>
        <v>1314</v>
      </c>
      <c r="I16" s="3">
        <f>753+30+14</f>
        <v>797</v>
      </c>
      <c r="J16" s="3">
        <f>565+24+8+1</f>
        <v>598</v>
      </c>
      <c r="K16" s="3">
        <f>705+133</f>
        <v>838</v>
      </c>
      <c r="L16" s="3">
        <f>943+148+4</f>
        <v>1095</v>
      </c>
      <c r="M16" s="3">
        <v>1040</v>
      </c>
      <c r="N16" s="3">
        <f>1035+38</f>
        <v>1073</v>
      </c>
      <c r="O16" s="3">
        <f>1515+15+14</f>
        <v>1544</v>
      </c>
      <c r="P16" s="3">
        <f>1034</f>
        <v>1034</v>
      </c>
      <c r="Q16" s="5">
        <f t="shared" si="0"/>
        <v>13936</v>
      </c>
    </row>
    <row r="17" spans="1:17" ht="15.75" thickBot="1" x14ac:dyDescent="0.25">
      <c r="A17" s="12" t="s">
        <v>17</v>
      </c>
      <c r="B17" s="13"/>
      <c r="C17" s="13"/>
      <c r="D17" s="13"/>
      <c r="E17" s="3">
        <f>147+1</f>
        <v>148</v>
      </c>
      <c r="F17" s="3">
        <v>202</v>
      </c>
      <c r="G17" s="3">
        <v>168</v>
      </c>
      <c r="H17" s="3">
        <f>124+13+2</f>
        <v>139</v>
      </c>
      <c r="I17" s="3">
        <f>525+1</f>
        <v>526</v>
      </c>
      <c r="J17" s="3">
        <f>54+1</f>
        <v>55</v>
      </c>
      <c r="K17" s="3">
        <f>69+18</f>
        <v>87</v>
      </c>
      <c r="L17" s="3">
        <f>50+6+1</f>
        <v>57</v>
      </c>
      <c r="M17" s="3">
        <v>42</v>
      </c>
      <c r="N17" s="3">
        <f>93+4</f>
        <v>97</v>
      </c>
      <c r="O17" s="3">
        <f>125+2+2</f>
        <v>129</v>
      </c>
      <c r="P17" s="3">
        <f>80</f>
        <v>80</v>
      </c>
      <c r="Q17" s="5">
        <f t="shared" si="0"/>
        <v>1730</v>
      </c>
    </row>
    <row r="18" spans="1:17" ht="15.75" thickBot="1" x14ac:dyDescent="0.25">
      <c r="A18" s="12" t="s">
        <v>18</v>
      </c>
      <c r="B18" s="13"/>
      <c r="C18" s="13"/>
      <c r="D18" s="13"/>
      <c r="E18" s="3">
        <f>10</f>
        <v>10</v>
      </c>
      <c r="F18" s="3">
        <v>19</v>
      </c>
      <c r="G18" s="3">
        <v>19</v>
      </c>
      <c r="H18" s="3">
        <v>30</v>
      </c>
      <c r="I18" s="3">
        <f>16</f>
        <v>16</v>
      </c>
      <c r="J18" s="3">
        <f>7</f>
        <v>7</v>
      </c>
      <c r="K18" s="3">
        <f>19+1</f>
        <v>20</v>
      </c>
      <c r="L18" s="3">
        <f>11</f>
        <v>11</v>
      </c>
      <c r="M18" s="3">
        <v>25</v>
      </c>
      <c r="N18" s="3">
        <f>24</f>
        <v>24</v>
      </c>
      <c r="O18" s="3">
        <f>20</f>
        <v>20</v>
      </c>
      <c r="P18" s="3">
        <f>34</f>
        <v>34</v>
      </c>
      <c r="Q18" s="5">
        <f t="shared" si="0"/>
        <v>235</v>
      </c>
    </row>
    <row r="19" spans="1:17" ht="15.75" thickBot="1" x14ac:dyDescent="0.25">
      <c r="A19" s="12" t="s">
        <v>19</v>
      </c>
      <c r="B19" s="13"/>
      <c r="C19" s="13"/>
      <c r="D19" s="13"/>
      <c r="E19" s="3">
        <f>208+7</f>
        <v>215</v>
      </c>
      <c r="F19" s="3">
        <v>220</v>
      </c>
      <c r="G19" s="3">
        <v>572</v>
      </c>
      <c r="H19" s="3">
        <f>513+36+4+4</f>
        <v>557</v>
      </c>
      <c r="I19" s="3">
        <f>450+17</f>
        <v>467</v>
      </c>
      <c r="J19" s="3">
        <f>312+17+1</f>
        <v>330</v>
      </c>
      <c r="K19" s="3">
        <f>376+36</f>
        <v>412</v>
      </c>
      <c r="L19" s="3">
        <f>592+76+7</f>
        <v>675</v>
      </c>
      <c r="M19" s="3">
        <v>678</v>
      </c>
      <c r="N19" s="3">
        <f>596+15</f>
        <v>611</v>
      </c>
      <c r="O19" s="3">
        <f>423+15+2</f>
        <v>440</v>
      </c>
      <c r="P19" s="3">
        <f>239</f>
        <v>239</v>
      </c>
      <c r="Q19" s="5">
        <f t="shared" si="0"/>
        <v>5416</v>
      </c>
    </row>
    <row r="20" spans="1:17" ht="15.75" thickBot="1" x14ac:dyDescent="0.25">
      <c r="A20" s="12" t="s">
        <v>20</v>
      </c>
      <c r="B20" s="13"/>
      <c r="C20" s="13"/>
      <c r="D20" s="13"/>
      <c r="E20" s="3">
        <f>1592+89</f>
        <v>1681</v>
      </c>
      <c r="F20" s="3">
        <v>1515</v>
      </c>
      <c r="G20" s="3">
        <v>2109</v>
      </c>
      <c r="H20" s="3">
        <f>2062+124+20</f>
        <v>2206</v>
      </c>
      <c r="I20" s="3">
        <f>1015+16+8</f>
        <v>1039</v>
      </c>
      <c r="J20" s="3">
        <f>522+20+16+2</f>
        <v>560</v>
      </c>
      <c r="K20" s="3">
        <f>843+92</f>
        <v>935</v>
      </c>
      <c r="L20" s="3">
        <f>2657+226+16</f>
        <v>2899</v>
      </c>
      <c r="M20" s="3">
        <v>1618</v>
      </c>
      <c r="N20" s="3">
        <f>1915+24</f>
        <v>1939</v>
      </c>
      <c r="O20" s="3">
        <f>3141+34+21</f>
        <v>3196</v>
      </c>
      <c r="P20" s="3">
        <f>2447</f>
        <v>2447</v>
      </c>
      <c r="Q20" s="5">
        <f t="shared" si="0"/>
        <v>22144</v>
      </c>
    </row>
    <row r="21" spans="1:17" ht="15.75" thickBot="1" x14ac:dyDescent="0.25">
      <c r="A21" s="12" t="s">
        <v>21</v>
      </c>
      <c r="B21" s="13"/>
      <c r="C21" s="13"/>
      <c r="D21" s="13"/>
      <c r="E21" s="3">
        <f>43</f>
        <v>43</v>
      </c>
      <c r="F21" s="3">
        <v>27</v>
      </c>
      <c r="G21" s="3">
        <v>41</v>
      </c>
      <c r="H21" s="3">
        <v>34</v>
      </c>
      <c r="I21" s="3">
        <f>29+4</f>
        <v>33</v>
      </c>
      <c r="J21" s="3">
        <f>14</f>
        <v>14</v>
      </c>
      <c r="K21" s="3">
        <f>17+2</f>
        <v>19</v>
      </c>
      <c r="L21" s="3">
        <f>174</f>
        <v>174</v>
      </c>
      <c r="M21" s="3">
        <v>17</v>
      </c>
      <c r="N21" s="3">
        <f>29+7</f>
        <v>36</v>
      </c>
      <c r="O21" s="3">
        <f>19</f>
        <v>19</v>
      </c>
      <c r="P21" s="3">
        <f>26</f>
        <v>26</v>
      </c>
      <c r="Q21" s="5">
        <f t="shared" si="0"/>
        <v>483</v>
      </c>
    </row>
    <row r="22" spans="1:17" ht="15.75" thickBot="1" x14ac:dyDescent="0.25">
      <c r="A22" s="12" t="s">
        <v>22</v>
      </c>
      <c r="B22" s="13"/>
      <c r="C22" s="13"/>
      <c r="D22" s="13"/>
      <c r="E22" s="3">
        <f>1619+39</f>
        <v>1658</v>
      </c>
      <c r="F22" s="3">
        <v>2771</v>
      </c>
      <c r="G22" s="3">
        <v>3953</v>
      </c>
      <c r="H22" s="3">
        <f>2914+181+5</f>
        <v>3100</v>
      </c>
      <c r="I22" s="3">
        <f>2044+525</f>
        <v>2569</v>
      </c>
      <c r="J22" s="3">
        <f>1244+41+2</f>
        <v>1287</v>
      </c>
      <c r="K22" s="3">
        <f>1484+180</f>
        <v>1664</v>
      </c>
      <c r="L22" s="3">
        <f>2461+280+14+1</f>
        <v>2756</v>
      </c>
      <c r="M22" s="3">
        <v>1436</v>
      </c>
      <c r="N22" s="3">
        <f>1962+91</f>
        <v>2053</v>
      </c>
      <c r="O22" s="3">
        <f>3180+45+8</f>
        <v>3233</v>
      </c>
      <c r="P22" s="3">
        <f>1549</f>
        <v>1549</v>
      </c>
      <c r="Q22" s="5">
        <f t="shared" si="0"/>
        <v>28029</v>
      </c>
    </row>
    <row r="23" spans="1:17" ht="15.75" thickBot="1" x14ac:dyDescent="0.25">
      <c r="A23" s="12" t="s">
        <v>23</v>
      </c>
      <c r="B23" s="13"/>
      <c r="C23" s="13"/>
      <c r="D23" s="13"/>
      <c r="E23" s="3">
        <f>15+1</f>
        <v>16</v>
      </c>
      <c r="F23" s="3">
        <v>39</v>
      </c>
      <c r="G23" s="3">
        <v>48</v>
      </c>
      <c r="H23" s="3">
        <f>25+4</f>
        <v>29</v>
      </c>
      <c r="I23" s="3">
        <f>37</f>
        <v>37</v>
      </c>
      <c r="J23" s="3">
        <f>14</f>
        <v>14</v>
      </c>
      <c r="K23" s="3">
        <f>14</f>
        <v>14</v>
      </c>
      <c r="L23" s="3">
        <f>4</f>
        <v>4</v>
      </c>
      <c r="M23" s="3">
        <v>25</v>
      </c>
      <c r="N23" s="3">
        <f>12</f>
        <v>12</v>
      </c>
      <c r="O23" s="3">
        <f>36+2</f>
        <v>38</v>
      </c>
      <c r="P23" s="3">
        <f>24</f>
        <v>24</v>
      </c>
      <c r="Q23" s="5">
        <f t="shared" si="0"/>
        <v>300</v>
      </c>
    </row>
    <row r="24" spans="1:17" ht="15.75" thickBot="1" x14ac:dyDescent="0.25">
      <c r="A24" s="12" t="s">
        <v>24</v>
      </c>
      <c r="B24" s="13"/>
      <c r="C24" s="13"/>
      <c r="D24" s="13"/>
      <c r="E24" s="3">
        <f>30</f>
        <v>30</v>
      </c>
      <c r="F24" s="3">
        <v>56</v>
      </c>
      <c r="G24" s="3">
        <v>134</v>
      </c>
      <c r="H24" s="3">
        <f>94+8</f>
        <v>102</v>
      </c>
      <c r="I24" s="3">
        <f>34</f>
        <v>34</v>
      </c>
      <c r="J24" s="3">
        <f>29</f>
        <v>29</v>
      </c>
      <c r="K24" s="3">
        <f>43</f>
        <v>43</v>
      </c>
      <c r="L24" s="3">
        <f>259+3</f>
        <v>262</v>
      </c>
      <c r="M24" s="3">
        <v>43</v>
      </c>
      <c r="N24" s="3">
        <f>11</f>
        <v>11</v>
      </c>
      <c r="O24" s="3">
        <f>108+1</f>
        <v>109</v>
      </c>
      <c r="P24" s="3">
        <f>109</f>
        <v>109</v>
      </c>
      <c r="Q24" s="5">
        <f t="shared" si="0"/>
        <v>962</v>
      </c>
    </row>
    <row r="25" spans="1:17" ht="15.75" thickBot="1" x14ac:dyDescent="0.25">
      <c r="A25" s="12" t="s">
        <v>25</v>
      </c>
      <c r="B25" s="13"/>
      <c r="C25" s="13"/>
      <c r="D25" s="13"/>
      <c r="E25" s="3">
        <f>50</f>
        <v>50</v>
      </c>
      <c r="F25" s="3">
        <v>31</v>
      </c>
      <c r="G25" s="3">
        <v>51</v>
      </c>
      <c r="H25" s="3">
        <v>60</v>
      </c>
      <c r="I25" s="3">
        <f>83</f>
        <v>83</v>
      </c>
      <c r="J25" s="3">
        <f>73+11</f>
        <v>84</v>
      </c>
      <c r="K25" s="3">
        <f>31+2</f>
        <v>33</v>
      </c>
      <c r="L25" s="3">
        <f>52+4</f>
        <v>56</v>
      </c>
      <c r="M25" s="3">
        <v>78</v>
      </c>
      <c r="N25" s="3">
        <f>56+7</f>
        <v>63</v>
      </c>
      <c r="O25" s="3">
        <f>66+6</f>
        <v>72</v>
      </c>
      <c r="P25" s="3">
        <f>120</f>
        <v>120</v>
      </c>
      <c r="Q25" s="5">
        <f t="shared" si="0"/>
        <v>781</v>
      </c>
    </row>
    <row r="26" spans="1:17" ht="15.75" thickBot="1" x14ac:dyDescent="0.25">
      <c r="A26" s="12" t="s">
        <v>26</v>
      </c>
      <c r="B26" s="13"/>
      <c r="C26" s="13"/>
      <c r="D26" s="13"/>
      <c r="E26" s="3">
        <f>16</f>
        <v>16</v>
      </c>
      <c r="F26" s="3">
        <v>15</v>
      </c>
      <c r="G26" s="3">
        <v>19</v>
      </c>
      <c r="H26" s="3">
        <v>9</v>
      </c>
      <c r="I26" s="3">
        <f>7</f>
        <v>7</v>
      </c>
      <c r="J26" s="3">
        <f>8</f>
        <v>8</v>
      </c>
      <c r="K26" s="3">
        <f>6</f>
        <v>6</v>
      </c>
      <c r="L26" s="3">
        <f>5</f>
        <v>5</v>
      </c>
      <c r="M26" s="3">
        <v>6</v>
      </c>
      <c r="N26" s="3">
        <f>10</f>
        <v>10</v>
      </c>
      <c r="O26" s="3">
        <f>12</f>
        <v>12</v>
      </c>
      <c r="P26" s="3">
        <f>9</f>
        <v>9</v>
      </c>
      <c r="Q26" s="5">
        <f t="shared" si="0"/>
        <v>122</v>
      </c>
    </row>
    <row r="27" spans="1:17" ht="15.75" thickBot="1" x14ac:dyDescent="0.25">
      <c r="A27" s="12" t="s">
        <v>27</v>
      </c>
      <c r="B27" s="13"/>
      <c r="C27" s="13"/>
      <c r="D27" s="13"/>
      <c r="E27" s="3">
        <f>18</f>
        <v>18</v>
      </c>
      <c r="F27" s="3">
        <v>6</v>
      </c>
      <c r="G27" s="3">
        <v>15</v>
      </c>
      <c r="H27" s="3">
        <v>12</v>
      </c>
      <c r="I27" s="3">
        <f>26</f>
        <v>26</v>
      </c>
      <c r="J27" s="3">
        <f>17+2</f>
        <v>19</v>
      </c>
      <c r="K27" s="3">
        <f>4</f>
        <v>4</v>
      </c>
      <c r="L27" s="3">
        <f>9+2</f>
        <v>11</v>
      </c>
      <c r="M27" s="3">
        <v>13</v>
      </c>
      <c r="N27" s="3">
        <f>36+1</f>
        <v>37</v>
      </c>
      <c r="O27" s="3">
        <f>15</f>
        <v>15</v>
      </c>
      <c r="P27" s="3">
        <f>5</f>
        <v>5</v>
      </c>
      <c r="Q27" s="5">
        <f t="shared" si="0"/>
        <v>181</v>
      </c>
    </row>
    <row r="28" spans="1:17" ht="15.75" thickBot="1" x14ac:dyDescent="0.25">
      <c r="A28" s="12" t="s">
        <v>28</v>
      </c>
      <c r="B28" s="13"/>
      <c r="C28" s="13"/>
      <c r="D28" s="13"/>
      <c r="E28" s="3">
        <f>21</f>
        <v>21</v>
      </c>
      <c r="F28" s="3">
        <v>12</v>
      </c>
      <c r="G28" s="3">
        <v>16</v>
      </c>
      <c r="H28" s="3">
        <v>5</v>
      </c>
      <c r="I28" s="3">
        <f>3</f>
        <v>3</v>
      </c>
      <c r="J28" s="3">
        <f>7</f>
        <v>7</v>
      </c>
      <c r="K28" s="3">
        <f>7+1</f>
        <v>8</v>
      </c>
      <c r="L28" s="3">
        <f>4</f>
        <v>4</v>
      </c>
      <c r="M28" s="3">
        <v>2</v>
      </c>
      <c r="N28" s="3">
        <f>6</f>
        <v>6</v>
      </c>
      <c r="O28" s="3">
        <f>14+1+2</f>
        <v>17</v>
      </c>
      <c r="P28" s="3">
        <f>2</f>
        <v>2</v>
      </c>
      <c r="Q28" s="5">
        <f t="shared" si="0"/>
        <v>103</v>
      </c>
    </row>
    <row r="29" spans="1:17" ht="15.75" thickBot="1" x14ac:dyDescent="0.25">
      <c r="A29" s="12" t="s">
        <v>29</v>
      </c>
      <c r="B29" s="13"/>
      <c r="C29" s="13"/>
      <c r="D29" s="13"/>
      <c r="E29" s="3">
        <f>58</f>
        <v>58</v>
      </c>
      <c r="F29" s="3">
        <v>76</v>
      </c>
      <c r="G29" s="3">
        <v>60</v>
      </c>
      <c r="H29" s="3">
        <v>13</v>
      </c>
      <c r="I29" s="3">
        <f>15</f>
        <v>15</v>
      </c>
      <c r="J29" s="3">
        <f>2</f>
        <v>2</v>
      </c>
      <c r="K29" s="3">
        <f>10</f>
        <v>10</v>
      </c>
      <c r="L29" s="3">
        <f>9+1</f>
        <v>10</v>
      </c>
      <c r="M29" s="3">
        <v>4</v>
      </c>
      <c r="N29" s="3">
        <f>29+1</f>
        <v>30</v>
      </c>
      <c r="O29" s="3">
        <f>35</f>
        <v>35</v>
      </c>
      <c r="P29" s="3">
        <f>23</f>
        <v>23</v>
      </c>
      <c r="Q29" s="5">
        <f t="shared" si="0"/>
        <v>336</v>
      </c>
    </row>
    <row r="30" spans="1:17" ht="15.75" thickBot="1" x14ac:dyDescent="0.25">
      <c r="A30" s="12" t="s">
        <v>30</v>
      </c>
      <c r="B30" s="13"/>
      <c r="C30" s="13"/>
      <c r="D30" s="13"/>
      <c r="E30" s="3">
        <f>10</f>
        <v>10</v>
      </c>
      <c r="F30" s="3">
        <v>5</v>
      </c>
      <c r="G30" s="3">
        <v>13</v>
      </c>
      <c r="H30" s="3">
        <v>4</v>
      </c>
      <c r="I30" s="3">
        <f>10</f>
        <v>10</v>
      </c>
      <c r="J30" s="3">
        <v>0</v>
      </c>
      <c r="K30" s="3">
        <f>6</f>
        <v>6</v>
      </c>
      <c r="L30" s="3">
        <f>1</f>
        <v>1</v>
      </c>
      <c r="M30" s="3">
        <v>4</v>
      </c>
      <c r="N30" s="3">
        <f>8+1</f>
        <v>9</v>
      </c>
      <c r="O30" s="3">
        <f>4</f>
        <v>4</v>
      </c>
      <c r="P30" s="3">
        <f>11</f>
        <v>11</v>
      </c>
      <c r="Q30" s="5">
        <f t="shared" si="0"/>
        <v>77</v>
      </c>
    </row>
    <row r="31" spans="1:17" ht="15.75" thickBot="1" x14ac:dyDescent="0.25">
      <c r="A31" s="12" t="s">
        <v>31</v>
      </c>
      <c r="B31" s="13"/>
      <c r="C31" s="13"/>
      <c r="D31" s="13"/>
      <c r="E31" s="3">
        <f>118</f>
        <v>118</v>
      </c>
      <c r="F31" s="3">
        <v>200</v>
      </c>
      <c r="G31" s="3">
        <v>195</v>
      </c>
      <c r="H31" s="3">
        <v>131</v>
      </c>
      <c r="I31" s="3">
        <f>116</f>
        <v>116</v>
      </c>
      <c r="J31" s="3">
        <f>71+2</f>
        <v>73</v>
      </c>
      <c r="K31" s="3">
        <f>40+4</f>
        <v>44</v>
      </c>
      <c r="L31" s="3">
        <f>115+2+3</f>
        <v>120</v>
      </c>
      <c r="M31" s="3">
        <v>62</v>
      </c>
      <c r="N31" s="3">
        <f>75</f>
        <v>75</v>
      </c>
      <c r="O31" s="3">
        <f>124+1+4</f>
        <v>129</v>
      </c>
      <c r="P31" s="3">
        <f>91</f>
        <v>91</v>
      </c>
      <c r="Q31" s="5">
        <f t="shared" si="0"/>
        <v>1354</v>
      </c>
    </row>
    <row r="32" spans="1:17" ht="15.75" thickBot="1" x14ac:dyDescent="0.25">
      <c r="A32" s="12" t="s">
        <v>32</v>
      </c>
      <c r="B32" s="13"/>
      <c r="C32" s="13"/>
      <c r="D32" s="13"/>
      <c r="E32" s="3">
        <f>1116+11</f>
        <v>1127</v>
      </c>
      <c r="F32" s="3">
        <v>2565</v>
      </c>
      <c r="G32" s="3">
        <v>775</v>
      </c>
      <c r="H32" s="3">
        <f>323+50+2+1</f>
        <v>376</v>
      </c>
      <c r="I32" s="3">
        <f>163+2+5</f>
        <v>170</v>
      </c>
      <c r="J32" s="3">
        <f>98+5</f>
        <v>103</v>
      </c>
      <c r="K32" s="3">
        <f>70+16</f>
        <v>86</v>
      </c>
      <c r="L32" s="3">
        <f>140+36+2</f>
        <v>178</v>
      </c>
      <c r="M32" s="3">
        <v>226</v>
      </c>
      <c r="N32" s="3">
        <f>121+13</f>
        <v>134</v>
      </c>
      <c r="O32" s="3">
        <f>47+9</f>
        <v>56</v>
      </c>
      <c r="P32" s="3">
        <f>120</f>
        <v>120</v>
      </c>
      <c r="Q32" s="5">
        <f t="shared" si="0"/>
        <v>5916</v>
      </c>
    </row>
    <row r="33" spans="1:17" ht="15.75" thickBot="1" x14ac:dyDescent="0.25">
      <c r="A33" s="12" t="s">
        <v>33</v>
      </c>
      <c r="B33" s="13"/>
      <c r="C33" s="13"/>
      <c r="D33" s="13"/>
      <c r="E33" s="3">
        <f>74</f>
        <v>74</v>
      </c>
      <c r="F33" s="3">
        <v>72</v>
      </c>
      <c r="G33" s="3">
        <v>56</v>
      </c>
      <c r="H33" s="3">
        <f>63+4</f>
        <v>67</v>
      </c>
      <c r="I33" s="3">
        <f>53+2</f>
        <v>55</v>
      </c>
      <c r="J33" s="3">
        <f>75+3</f>
        <v>78</v>
      </c>
      <c r="K33" s="3">
        <f>26+1</f>
        <v>27</v>
      </c>
      <c r="L33" s="3">
        <f>39+1+4</f>
        <v>44</v>
      </c>
      <c r="M33" s="3">
        <v>28</v>
      </c>
      <c r="N33" s="3">
        <f>34</f>
        <v>34</v>
      </c>
      <c r="O33" s="3">
        <f>50+1</f>
        <v>51</v>
      </c>
      <c r="P33" s="3">
        <f>100</f>
        <v>100</v>
      </c>
      <c r="Q33" s="5">
        <f t="shared" si="0"/>
        <v>686</v>
      </c>
    </row>
    <row r="34" spans="1:17" ht="15.75" thickBot="1" x14ac:dyDescent="0.25">
      <c r="A34" s="12" t="s">
        <v>34</v>
      </c>
      <c r="B34" s="13"/>
      <c r="C34" s="13"/>
      <c r="D34" s="13"/>
      <c r="E34" s="3">
        <f>1099+43</f>
        <v>1142</v>
      </c>
      <c r="F34" s="3">
        <v>782</v>
      </c>
      <c r="G34" s="3">
        <v>831</v>
      </c>
      <c r="H34" s="3">
        <f>435+28+4</f>
        <v>467</v>
      </c>
      <c r="I34" s="3">
        <f>288+4+1</f>
        <v>293</v>
      </c>
      <c r="J34" s="3">
        <f>149+7+1</f>
        <v>157</v>
      </c>
      <c r="K34" s="3">
        <f>347+40</f>
        <v>387</v>
      </c>
      <c r="L34" s="3">
        <f>1449+99+17+4</f>
        <v>1569</v>
      </c>
      <c r="M34" s="3">
        <v>392</v>
      </c>
      <c r="N34" s="3">
        <f>413+6</f>
        <v>419</v>
      </c>
      <c r="O34" s="3">
        <f>935+13+13</f>
        <v>961</v>
      </c>
      <c r="P34" s="3">
        <f>1051</f>
        <v>1051</v>
      </c>
      <c r="Q34" s="5">
        <f t="shared" si="0"/>
        <v>8451</v>
      </c>
    </row>
    <row r="35" spans="1:17" ht="15.75" thickBot="1" x14ac:dyDescent="0.25">
      <c r="A35" s="12" t="s">
        <v>35</v>
      </c>
      <c r="B35" s="13"/>
      <c r="C35" s="13"/>
      <c r="D35" s="13"/>
      <c r="E35" s="3">
        <v>0</v>
      </c>
      <c r="F35" s="3">
        <v>2</v>
      </c>
      <c r="G35" s="3">
        <v>7</v>
      </c>
      <c r="H35" s="3">
        <v>1</v>
      </c>
      <c r="I35" s="3">
        <f>1</f>
        <v>1</v>
      </c>
      <c r="J35" s="3">
        <v>0</v>
      </c>
      <c r="K35" s="3">
        <f>2+1</f>
        <v>3</v>
      </c>
      <c r="L35" s="3">
        <f>1</f>
        <v>1</v>
      </c>
      <c r="M35" s="3">
        <v>0</v>
      </c>
      <c r="N35" s="3">
        <v>0</v>
      </c>
      <c r="O35" s="3">
        <v>0</v>
      </c>
      <c r="P35" s="3">
        <f>0</f>
        <v>0</v>
      </c>
      <c r="Q35" s="5">
        <f t="shared" si="0"/>
        <v>15</v>
      </c>
    </row>
    <row r="36" spans="1:17" ht="15.75" thickBot="1" x14ac:dyDescent="0.25">
      <c r="A36" s="12" t="s">
        <v>36</v>
      </c>
      <c r="B36" s="13"/>
      <c r="C36" s="13"/>
      <c r="D36" s="13"/>
      <c r="E36" s="3">
        <f>129+4</f>
        <v>133</v>
      </c>
      <c r="F36" s="3">
        <v>177</v>
      </c>
      <c r="G36" s="3">
        <v>149</v>
      </c>
      <c r="H36" s="3">
        <f>127+10+1</f>
        <v>138</v>
      </c>
      <c r="I36" s="3">
        <f>177</f>
        <v>177</v>
      </c>
      <c r="J36" s="3">
        <f>94+4+2</f>
        <v>100</v>
      </c>
      <c r="K36" s="3">
        <f>115+9</f>
        <v>124</v>
      </c>
      <c r="L36" s="3">
        <f>244+21+2</f>
        <v>267</v>
      </c>
      <c r="M36" s="3">
        <v>185</v>
      </c>
      <c r="N36" s="3">
        <f>120+1</f>
        <v>121</v>
      </c>
      <c r="O36" s="3">
        <f>188+5+2</f>
        <v>195</v>
      </c>
      <c r="P36" s="3">
        <f>187+3</f>
        <v>190</v>
      </c>
      <c r="Q36" s="5">
        <f t="shared" si="0"/>
        <v>1956</v>
      </c>
    </row>
    <row r="37" spans="1:17" ht="15.75" thickBot="1" x14ac:dyDescent="0.25">
      <c r="A37" s="12" t="s">
        <v>37</v>
      </c>
      <c r="B37" s="13"/>
      <c r="C37" s="13"/>
      <c r="D37" s="13"/>
      <c r="E37" s="3">
        <v>0</v>
      </c>
      <c r="F37" s="3">
        <v>2</v>
      </c>
      <c r="G37" s="3">
        <v>562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5">
        <f t="shared" si="0"/>
        <v>564</v>
      </c>
    </row>
    <row r="38" spans="1:17" ht="15.75" thickBot="1" x14ac:dyDescent="0.25">
      <c r="A38" s="12" t="s">
        <v>38</v>
      </c>
      <c r="B38" s="13"/>
      <c r="C38" s="13"/>
      <c r="D38" s="13"/>
      <c r="E38" s="3">
        <f>409+4</f>
        <v>413</v>
      </c>
      <c r="F38" s="3">
        <v>756</v>
      </c>
      <c r="G38" s="3">
        <v>709</v>
      </c>
      <c r="H38" s="3">
        <v>315</v>
      </c>
      <c r="I38" s="3">
        <f>199+4+16</f>
        <v>219</v>
      </c>
      <c r="J38" s="3">
        <f>119+5</f>
        <v>124</v>
      </c>
      <c r="K38" s="3">
        <f>184+8</f>
        <v>192</v>
      </c>
      <c r="L38" s="3">
        <f>145+9+4</f>
        <v>158</v>
      </c>
      <c r="M38" s="3">
        <v>175</v>
      </c>
      <c r="N38" s="3">
        <f>207+6</f>
        <v>213</v>
      </c>
      <c r="O38" s="3">
        <f>308+12</f>
        <v>320</v>
      </c>
      <c r="P38" s="3">
        <f>538</f>
        <v>538</v>
      </c>
      <c r="Q38" s="5">
        <f t="shared" si="0"/>
        <v>4132</v>
      </c>
    </row>
    <row r="39" spans="1:17" ht="15.75" thickBot="1" x14ac:dyDescent="0.25">
      <c r="A39" s="12" t="s">
        <v>39</v>
      </c>
      <c r="B39" s="13"/>
      <c r="C39" s="13"/>
      <c r="D39" s="13"/>
      <c r="E39" s="3">
        <f>766+12+61</f>
        <v>839</v>
      </c>
      <c r="F39" s="3">
        <v>511</v>
      </c>
      <c r="G39" s="3">
        <v>27</v>
      </c>
      <c r="H39" s="3">
        <f>945+92+18+1</f>
        <v>1056</v>
      </c>
      <c r="I39" s="3">
        <f>702+15+8</f>
        <v>725</v>
      </c>
      <c r="J39" s="3">
        <f>610+17+6</f>
        <v>633</v>
      </c>
      <c r="K39" s="3">
        <f>752+101</f>
        <v>853</v>
      </c>
      <c r="L39" s="3">
        <f>710+93+7+6</f>
        <v>816</v>
      </c>
      <c r="M39" s="3">
        <v>877</v>
      </c>
      <c r="N39" s="3">
        <f>699+8</f>
        <v>707</v>
      </c>
      <c r="O39" s="3">
        <f>737+4+7</f>
        <v>748</v>
      </c>
      <c r="P39" s="3">
        <f>927+8</f>
        <v>935</v>
      </c>
      <c r="Q39" s="5">
        <f t="shared" si="0"/>
        <v>8727</v>
      </c>
    </row>
    <row r="40" spans="1:17" ht="15.75" thickBot="1" x14ac:dyDescent="0.25">
      <c r="A40" s="12" t="s">
        <v>40</v>
      </c>
      <c r="B40" s="13"/>
      <c r="C40" s="13"/>
      <c r="D40" s="13"/>
      <c r="E40" s="3">
        <f>318+7</f>
        <v>325</v>
      </c>
      <c r="F40" s="3">
        <v>394</v>
      </c>
      <c r="G40" s="3">
        <v>335</v>
      </c>
      <c r="H40" s="3">
        <f>307+11</f>
        <v>318</v>
      </c>
      <c r="I40" s="3">
        <f>13+9</f>
        <v>22</v>
      </c>
      <c r="J40" s="3">
        <f>102</f>
        <v>102</v>
      </c>
      <c r="K40" s="3">
        <f>204+41</f>
        <v>245</v>
      </c>
      <c r="L40" s="3">
        <f>256+36</f>
        <v>292</v>
      </c>
      <c r="M40" s="3">
        <v>176</v>
      </c>
      <c r="N40" s="3">
        <f>186+9</f>
        <v>195</v>
      </c>
      <c r="O40" s="3">
        <f>371+1+4</f>
        <v>376</v>
      </c>
      <c r="P40" s="3">
        <f>248</f>
        <v>248</v>
      </c>
      <c r="Q40" s="5">
        <f t="shared" si="0"/>
        <v>3028</v>
      </c>
    </row>
    <row r="41" spans="1:17" ht="15.75" thickBot="1" x14ac:dyDescent="0.25">
      <c r="A41" s="12" t="s">
        <v>41</v>
      </c>
      <c r="B41" s="13"/>
      <c r="C41" s="13"/>
      <c r="D41" s="13"/>
      <c r="E41" s="3">
        <f>8248+552</f>
        <v>8800</v>
      </c>
      <c r="F41" s="3">
        <v>8740</v>
      </c>
      <c r="G41" s="3">
        <v>12378</v>
      </c>
      <c r="H41" s="3">
        <f>7714+468+116+17</f>
        <v>8315</v>
      </c>
      <c r="I41" s="3">
        <f>5303+134+45</f>
        <v>5482</v>
      </c>
      <c r="J41" s="3">
        <f>5422+321+23</f>
        <v>5766</v>
      </c>
      <c r="K41" s="3">
        <v>9387</v>
      </c>
      <c r="L41" s="3">
        <f>8252+602+49+6</f>
        <v>8909</v>
      </c>
      <c r="M41" s="3">
        <v>9015</v>
      </c>
      <c r="N41" s="3">
        <f>11297+504+1830</f>
        <v>13631</v>
      </c>
      <c r="O41" s="3">
        <v>10713</v>
      </c>
      <c r="P41" s="3">
        <f>13634</f>
        <v>13634</v>
      </c>
      <c r="Q41" s="5">
        <f t="shared" si="0"/>
        <v>114770</v>
      </c>
    </row>
    <row r="42" spans="1:17" ht="15.75" thickBot="1" x14ac:dyDescent="0.25">
      <c r="A42" s="12" t="s">
        <v>42</v>
      </c>
      <c r="B42" s="13"/>
      <c r="C42" s="13"/>
      <c r="D42" s="13"/>
      <c r="E42" s="3">
        <f>58</f>
        <v>58</v>
      </c>
      <c r="F42" s="3">
        <v>73</v>
      </c>
      <c r="G42" s="3">
        <v>65</v>
      </c>
      <c r="H42" s="3">
        <f>68+3</f>
        <v>71</v>
      </c>
      <c r="I42" s="3">
        <f>27</f>
        <v>27</v>
      </c>
      <c r="J42" s="3">
        <f>19+2</f>
        <v>21</v>
      </c>
      <c r="K42" s="3">
        <f>18</f>
        <v>18</v>
      </c>
      <c r="L42" s="3">
        <f>25</f>
        <v>25</v>
      </c>
      <c r="M42" s="3">
        <v>29</v>
      </c>
      <c r="N42" s="3">
        <f>12</f>
        <v>12</v>
      </c>
      <c r="O42" s="3">
        <f>33</f>
        <v>33</v>
      </c>
      <c r="P42" s="3">
        <f>33</f>
        <v>33</v>
      </c>
      <c r="Q42" s="5">
        <f t="shared" si="0"/>
        <v>465</v>
      </c>
    </row>
    <row r="43" spans="1:17" ht="15.75" thickBot="1" x14ac:dyDescent="0.25">
      <c r="A43" s="12" t="s">
        <v>43</v>
      </c>
      <c r="B43" s="13"/>
      <c r="C43" s="13"/>
      <c r="D43" s="13"/>
      <c r="E43" s="3">
        <f>92+7</f>
        <v>99</v>
      </c>
      <c r="F43" s="3">
        <v>64</v>
      </c>
      <c r="G43" s="3">
        <v>37</v>
      </c>
      <c r="H43" s="3">
        <f>59+4</f>
        <v>63</v>
      </c>
      <c r="I43" s="3">
        <f>40+1</f>
        <v>41</v>
      </c>
      <c r="J43" s="3">
        <f>35</f>
        <v>35</v>
      </c>
      <c r="K43" s="3">
        <f>35+1</f>
        <v>36</v>
      </c>
      <c r="L43" s="3">
        <f>17+5</f>
        <v>22</v>
      </c>
      <c r="M43" s="3">
        <v>46</v>
      </c>
      <c r="N43" s="3">
        <f>79+2</f>
        <v>81</v>
      </c>
      <c r="O43" s="3">
        <f>68+3</f>
        <v>71</v>
      </c>
      <c r="P43" s="3">
        <f>68</f>
        <v>68</v>
      </c>
      <c r="Q43" s="5">
        <f t="shared" si="0"/>
        <v>663</v>
      </c>
    </row>
    <row r="44" spans="1:17" ht="15.75" thickBot="1" x14ac:dyDescent="0.25">
      <c r="A44" s="12" t="s">
        <v>44</v>
      </c>
      <c r="B44" s="13"/>
      <c r="C44" s="13"/>
      <c r="D44" s="13"/>
      <c r="E44" s="3">
        <f>30+5</f>
        <v>35</v>
      </c>
      <c r="F44" s="3">
        <v>39</v>
      </c>
      <c r="G44" s="3">
        <v>14</v>
      </c>
      <c r="H44" s="3">
        <v>15</v>
      </c>
      <c r="I44" s="3">
        <f>34</f>
        <v>34</v>
      </c>
      <c r="J44" s="3">
        <f>16</f>
        <v>16</v>
      </c>
      <c r="K44" s="3">
        <f>14+3</f>
        <v>17</v>
      </c>
      <c r="L44" s="3">
        <f>45+2</f>
        <v>47</v>
      </c>
      <c r="M44" s="3">
        <v>47</v>
      </c>
      <c r="N44" s="3">
        <f>38</f>
        <v>38</v>
      </c>
      <c r="O44" s="3">
        <f>60+1</f>
        <v>61</v>
      </c>
      <c r="P44" s="3">
        <f>18</f>
        <v>18</v>
      </c>
      <c r="Q44" s="5">
        <f t="shared" si="0"/>
        <v>381</v>
      </c>
    </row>
    <row r="45" spans="1:17" ht="15.75" thickBot="1" x14ac:dyDescent="0.25">
      <c r="A45" s="12" t="s">
        <v>45</v>
      </c>
      <c r="B45" s="13"/>
      <c r="C45" s="13"/>
      <c r="D45" s="13"/>
      <c r="E45" s="3">
        <f>1002+140</f>
        <v>1142</v>
      </c>
      <c r="F45" s="3">
        <v>1034</v>
      </c>
      <c r="G45" s="3">
        <v>1047</v>
      </c>
      <c r="H45" s="3">
        <f>975+22+1</f>
        <v>998</v>
      </c>
      <c r="I45" s="3">
        <f>1375+116</f>
        <v>1491</v>
      </c>
      <c r="J45" s="3">
        <f>912+21+3</f>
        <v>936</v>
      </c>
      <c r="K45" s="3">
        <f>968+105</f>
        <v>1073</v>
      </c>
      <c r="L45" s="3">
        <f>1731+126+3</f>
        <v>1860</v>
      </c>
      <c r="M45" s="3">
        <v>1394</v>
      </c>
      <c r="N45" s="3">
        <f>1407+113</f>
        <v>1520</v>
      </c>
      <c r="O45" s="3">
        <f>1070+22</f>
        <v>1092</v>
      </c>
      <c r="P45" s="3">
        <f>698</f>
        <v>698</v>
      </c>
      <c r="Q45" s="5">
        <f t="shared" si="0"/>
        <v>14285</v>
      </c>
    </row>
    <row r="46" spans="1:17" ht="15.75" thickBot="1" x14ac:dyDescent="0.25">
      <c r="A46" s="12" t="s">
        <v>46</v>
      </c>
      <c r="B46" s="13"/>
      <c r="C46" s="13"/>
      <c r="D46" s="13"/>
      <c r="E46" s="3">
        <f>34</f>
        <v>34</v>
      </c>
      <c r="F46" s="3">
        <v>22</v>
      </c>
      <c r="G46" s="3">
        <v>23</v>
      </c>
      <c r="H46" s="3">
        <v>12</v>
      </c>
      <c r="I46" s="3">
        <f>20</f>
        <v>20</v>
      </c>
      <c r="J46" s="3">
        <f>23</f>
        <v>23</v>
      </c>
      <c r="K46" s="3">
        <f>4</f>
        <v>4</v>
      </c>
      <c r="L46" s="3">
        <f>7</f>
        <v>7</v>
      </c>
      <c r="M46" s="3">
        <v>20</v>
      </c>
      <c r="N46" s="3">
        <f>21+1</f>
        <v>22</v>
      </c>
      <c r="O46" s="3">
        <f>14</f>
        <v>14</v>
      </c>
      <c r="P46" s="3">
        <f>19</f>
        <v>19</v>
      </c>
      <c r="Q46" s="5">
        <f t="shared" si="0"/>
        <v>220</v>
      </c>
    </row>
    <row r="47" spans="1:17" ht="15.75" thickBot="1" x14ac:dyDescent="0.25">
      <c r="A47" s="12" t="s">
        <v>47</v>
      </c>
      <c r="B47" s="13"/>
      <c r="C47" s="13"/>
      <c r="D47" s="13"/>
      <c r="E47" s="3">
        <f>276+6</f>
        <v>282</v>
      </c>
      <c r="F47" s="3">
        <v>286</v>
      </c>
      <c r="G47" s="3">
        <v>219</v>
      </c>
      <c r="H47" s="3">
        <v>106</v>
      </c>
      <c r="I47" s="3">
        <f>125+4</f>
        <v>129</v>
      </c>
      <c r="J47" s="3">
        <f>37</f>
        <v>37</v>
      </c>
      <c r="K47" s="3">
        <f>76+4</f>
        <v>80</v>
      </c>
      <c r="L47" s="3">
        <f>66+10</f>
        <v>76</v>
      </c>
      <c r="M47" s="3">
        <v>74</v>
      </c>
      <c r="N47" s="3">
        <f>120+1</f>
        <v>121</v>
      </c>
      <c r="O47" s="3">
        <f>570+5</f>
        <v>575</v>
      </c>
      <c r="P47" s="3">
        <f>136</f>
        <v>136</v>
      </c>
      <c r="Q47" s="5">
        <f t="shared" si="0"/>
        <v>2121</v>
      </c>
    </row>
    <row r="48" spans="1:17" ht="15.75" thickBot="1" x14ac:dyDescent="0.25">
      <c r="A48" s="12" t="s">
        <v>48</v>
      </c>
      <c r="B48" s="13"/>
      <c r="C48" s="13"/>
      <c r="D48" s="13"/>
      <c r="E48" s="3">
        <f>27+1</f>
        <v>28</v>
      </c>
      <c r="F48" s="3">
        <v>10</v>
      </c>
      <c r="G48" s="3">
        <v>32</v>
      </c>
      <c r="H48" s="3">
        <v>77</v>
      </c>
      <c r="I48" s="3">
        <f>44+2</f>
        <v>46</v>
      </c>
      <c r="J48" s="3">
        <f>29+2</f>
        <v>31</v>
      </c>
      <c r="K48" s="3">
        <f>69+2</f>
        <v>71</v>
      </c>
      <c r="L48" s="3">
        <f>27+4+2</f>
        <v>33</v>
      </c>
      <c r="M48" s="3">
        <v>24</v>
      </c>
      <c r="N48" s="3">
        <f>54</f>
        <v>54</v>
      </c>
      <c r="O48" s="3">
        <f>54+1+2</f>
        <v>57</v>
      </c>
      <c r="P48" s="3">
        <f>41</f>
        <v>41</v>
      </c>
      <c r="Q48" s="5">
        <f t="shared" si="0"/>
        <v>504</v>
      </c>
    </row>
    <row r="49" spans="1:17" ht="15.75" thickBot="1" x14ac:dyDescent="0.25">
      <c r="A49" s="12" t="s">
        <v>49</v>
      </c>
      <c r="B49" s="13"/>
      <c r="C49" s="13"/>
      <c r="D49" s="13"/>
      <c r="E49" s="3">
        <f>93+2</f>
        <v>95</v>
      </c>
      <c r="F49" s="3">
        <v>69</v>
      </c>
      <c r="G49" s="3">
        <v>120</v>
      </c>
      <c r="H49" s="3">
        <f>102+2+1</f>
        <v>105</v>
      </c>
      <c r="I49" s="3">
        <f>54+1</f>
        <v>55</v>
      </c>
      <c r="J49" s="3">
        <f>32</f>
        <v>32</v>
      </c>
      <c r="K49" s="3">
        <f>20+2</f>
        <v>22</v>
      </c>
      <c r="L49" s="3">
        <f>103+4+2</f>
        <v>109</v>
      </c>
      <c r="M49" s="3">
        <v>48</v>
      </c>
      <c r="N49" s="3">
        <f>86+5</f>
        <v>91</v>
      </c>
      <c r="O49" s="3">
        <f>149</f>
        <v>149</v>
      </c>
      <c r="P49" s="3">
        <f>140</f>
        <v>140</v>
      </c>
      <c r="Q49" s="5">
        <f t="shared" si="0"/>
        <v>1035</v>
      </c>
    </row>
    <row r="50" spans="1:17" ht="15.75" thickBot="1" x14ac:dyDescent="0.25">
      <c r="A50" s="12" t="s">
        <v>50</v>
      </c>
      <c r="B50" s="13"/>
      <c r="C50" s="13"/>
      <c r="D50" s="13"/>
      <c r="E50" s="3">
        <f>1488+281</f>
        <v>1769</v>
      </c>
      <c r="F50" s="3">
        <v>833</v>
      </c>
      <c r="G50" s="3">
        <v>557</v>
      </c>
      <c r="H50" s="3">
        <f>1122+117+2</f>
        <v>1241</v>
      </c>
      <c r="I50" s="3">
        <f>648+43+6</f>
        <v>697</v>
      </c>
      <c r="J50" s="3">
        <f>447+26+3</f>
        <v>476</v>
      </c>
      <c r="K50" s="3">
        <f>639+193</f>
        <v>832</v>
      </c>
      <c r="L50" s="3">
        <f>629+26+3</f>
        <v>658</v>
      </c>
      <c r="M50" s="3">
        <v>824</v>
      </c>
      <c r="N50" s="3">
        <f>451+17</f>
        <v>468</v>
      </c>
      <c r="O50" s="3">
        <f>173+7</f>
        <v>180</v>
      </c>
      <c r="P50" s="3">
        <f>407</f>
        <v>407</v>
      </c>
      <c r="Q50" s="5">
        <f t="shared" si="0"/>
        <v>8942</v>
      </c>
    </row>
    <row r="51" spans="1:17" ht="15.75" thickBot="1" x14ac:dyDescent="0.25">
      <c r="A51" s="12" t="s">
        <v>51</v>
      </c>
      <c r="B51" s="13"/>
      <c r="C51" s="13"/>
      <c r="D51" s="13"/>
      <c r="E51" s="3">
        <f>472+17</f>
        <v>489</v>
      </c>
      <c r="F51" s="3">
        <v>416</v>
      </c>
      <c r="G51" s="3">
        <v>484</v>
      </c>
      <c r="H51" s="3">
        <f>417+21+4</f>
        <v>442</v>
      </c>
      <c r="I51" s="3">
        <f>435+26+13</f>
        <v>474</v>
      </c>
      <c r="J51" s="3">
        <f>176+11+11+1</f>
        <v>199</v>
      </c>
      <c r="K51" s="3">
        <f>167+21</f>
        <v>188</v>
      </c>
      <c r="L51" s="3">
        <f>283+32+10</f>
        <v>325</v>
      </c>
      <c r="M51" s="3">
        <v>174</v>
      </c>
      <c r="N51" s="3">
        <f>127+7</f>
        <v>134</v>
      </c>
      <c r="O51" s="3">
        <f>248+12+5</f>
        <v>265</v>
      </c>
      <c r="P51" s="3">
        <f>279</f>
        <v>279</v>
      </c>
      <c r="Q51" s="5">
        <f t="shared" si="0"/>
        <v>3869</v>
      </c>
    </row>
    <row r="52" spans="1:17" ht="15.75" thickBot="1" x14ac:dyDescent="0.25">
      <c r="A52" s="12" t="s">
        <v>52</v>
      </c>
      <c r="B52" s="13"/>
      <c r="C52" s="13"/>
      <c r="D52" s="13"/>
      <c r="E52" s="3">
        <f>86+3</f>
        <v>89</v>
      </c>
      <c r="F52" s="3">
        <v>95</v>
      </c>
      <c r="G52" s="3">
        <v>64</v>
      </c>
      <c r="H52" s="3">
        <v>41</v>
      </c>
      <c r="I52" s="3">
        <f>17</f>
        <v>17</v>
      </c>
      <c r="J52" s="3">
        <f>7</f>
        <v>7</v>
      </c>
      <c r="K52" s="3">
        <f>26+6</f>
        <v>32</v>
      </c>
      <c r="L52" s="3">
        <f>11</f>
        <v>11</v>
      </c>
      <c r="M52" s="3">
        <v>21</v>
      </c>
      <c r="N52" s="3">
        <f>25</f>
        <v>25</v>
      </c>
      <c r="O52" s="3">
        <f>44+2</f>
        <v>46</v>
      </c>
      <c r="P52" s="3">
        <f>61</f>
        <v>61</v>
      </c>
      <c r="Q52" s="5">
        <f t="shared" si="0"/>
        <v>509</v>
      </c>
    </row>
    <row r="53" spans="1:17" ht="15.75" thickBot="1" x14ac:dyDescent="0.25">
      <c r="A53" s="12" t="s">
        <v>53</v>
      </c>
      <c r="B53" s="13"/>
      <c r="C53" s="13"/>
      <c r="D53" s="13"/>
      <c r="E53" s="3">
        <f>9</f>
        <v>9</v>
      </c>
      <c r="F53" s="3">
        <v>5</v>
      </c>
      <c r="G53" s="3">
        <v>15</v>
      </c>
      <c r="H53" s="3">
        <f>17+3</f>
        <v>20</v>
      </c>
      <c r="I53" s="3">
        <f>8</f>
        <v>8</v>
      </c>
      <c r="J53" s="3">
        <f>1</f>
        <v>1</v>
      </c>
      <c r="K53" s="3">
        <f>1</f>
        <v>1</v>
      </c>
      <c r="L53" s="3">
        <f>4</f>
        <v>4</v>
      </c>
      <c r="M53" s="3">
        <v>8</v>
      </c>
      <c r="N53" s="3">
        <f>3+2</f>
        <v>5</v>
      </c>
      <c r="O53" s="3">
        <f>5+6</f>
        <v>11</v>
      </c>
      <c r="P53" s="3">
        <f>13</f>
        <v>13</v>
      </c>
      <c r="Q53" s="5">
        <f t="shared" si="0"/>
        <v>100</v>
      </c>
    </row>
    <row r="54" spans="1:17" ht="15.75" thickBot="1" x14ac:dyDescent="0.25">
      <c r="A54" s="12" t="s">
        <v>54</v>
      </c>
      <c r="B54" s="13"/>
      <c r="C54" s="13"/>
      <c r="D54" s="13"/>
      <c r="E54" s="3">
        <f>12</f>
        <v>12</v>
      </c>
      <c r="F54" s="3">
        <v>29</v>
      </c>
      <c r="G54" s="3">
        <v>33</v>
      </c>
      <c r="H54" s="3">
        <v>20</v>
      </c>
      <c r="I54" s="3">
        <f>5</f>
        <v>5</v>
      </c>
      <c r="J54" s="3">
        <f>15</f>
        <v>15</v>
      </c>
      <c r="K54" s="3">
        <f>2</f>
        <v>2</v>
      </c>
      <c r="L54" s="3">
        <f>5+2</f>
        <v>7</v>
      </c>
      <c r="M54" s="3">
        <v>2</v>
      </c>
      <c r="N54" s="3">
        <f>11</f>
        <v>11</v>
      </c>
      <c r="O54" s="3">
        <f>19+1</f>
        <v>20</v>
      </c>
      <c r="P54" s="3">
        <f>12</f>
        <v>12</v>
      </c>
      <c r="Q54" s="5">
        <f t="shared" si="0"/>
        <v>168</v>
      </c>
    </row>
    <row r="55" spans="1:17" ht="15.75" thickBot="1" x14ac:dyDescent="0.25">
      <c r="A55" s="12" t="s">
        <v>55</v>
      </c>
      <c r="B55" s="13"/>
      <c r="C55" s="13"/>
      <c r="D55" s="13"/>
      <c r="E55" s="3">
        <f>18+5</f>
        <v>23</v>
      </c>
      <c r="F55" s="3">
        <v>61</v>
      </c>
      <c r="G55" s="3">
        <v>69</v>
      </c>
      <c r="H55" s="3">
        <v>77</v>
      </c>
      <c r="I55" s="3">
        <f>57</f>
        <v>57</v>
      </c>
      <c r="J55" s="3">
        <f>5</f>
        <v>5</v>
      </c>
      <c r="K55" s="3">
        <f>8+1</f>
        <v>9</v>
      </c>
      <c r="L55" s="3">
        <f>2</f>
        <v>2</v>
      </c>
      <c r="M55" s="3">
        <v>3</v>
      </c>
      <c r="N55" s="3">
        <f>7</f>
        <v>7</v>
      </c>
      <c r="O55" s="3">
        <f>64</f>
        <v>64</v>
      </c>
      <c r="P55" s="3">
        <f>3</f>
        <v>3</v>
      </c>
      <c r="Q55" s="5">
        <f t="shared" si="0"/>
        <v>380</v>
      </c>
    </row>
    <row r="56" spans="1:17" ht="15.75" thickBot="1" x14ac:dyDescent="0.25">
      <c r="A56" s="12" t="s">
        <v>56</v>
      </c>
      <c r="B56" s="13"/>
      <c r="C56" s="13"/>
      <c r="D56" s="13"/>
      <c r="E56" s="3">
        <f>7</f>
        <v>7</v>
      </c>
      <c r="F56" s="3">
        <v>6</v>
      </c>
      <c r="G56" s="3">
        <v>41</v>
      </c>
      <c r="H56" s="3">
        <v>88</v>
      </c>
      <c r="I56" s="3">
        <f>14</f>
        <v>14</v>
      </c>
      <c r="J56" s="3">
        <f>12</f>
        <v>12</v>
      </c>
      <c r="K56" s="3">
        <f>22</f>
        <v>22</v>
      </c>
      <c r="L56" s="3">
        <f>23</f>
        <v>23</v>
      </c>
      <c r="M56" s="3">
        <v>5</v>
      </c>
      <c r="N56" s="3">
        <f>17</f>
        <v>17</v>
      </c>
      <c r="O56" s="3">
        <f>29</f>
        <v>29</v>
      </c>
      <c r="P56" s="3">
        <f>33</f>
        <v>33</v>
      </c>
      <c r="Q56" s="5">
        <f t="shared" si="0"/>
        <v>297</v>
      </c>
    </row>
    <row r="57" spans="1:17" ht="15.75" thickBot="1" x14ac:dyDescent="0.25">
      <c r="A57" s="12" t="s">
        <v>57</v>
      </c>
      <c r="B57" s="13"/>
      <c r="C57" s="13"/>
      <c r="D57" s="13"/>
      <c r="E57" s="3">
        <f>78</f>
        <v>78</v>
      </c>
      <c r="F57" s="3">
        <v>45</v>
      </c>
      <c r="G57" s="3">
        <v>51</v>
      </c>
      <c r="H57" s="3">
        <f>24+1</f>
        <v>25</v>
      </c>
      <c r="I57" s="3">
        <f>23+2</f>
        <v>25</v>
      </c>
      <c r="J57" s="3">
        <f>35</f>
        <v>35</v>
      </c>
      <c r="K57" s="3">
        <f>32+1</f>
        <v>33</v>
      </c>
      <c r="L57" s="3">
        <f>13+3+2</f>
        <v>18</v>
      </c>
      <c r="M57" s="3">
        <v>16</v>
      </c>
      <c r="N57" s="3">
        <f>22</f>
        <v>22</v>
      </c>
      <c r="O57" s="3">
        <f>85</f>
        <v>85</v>
      </c>
      <c r="P57" s="3">
        <f>60</f>
        <v>60</v>
      </c>
      <c r="Q57" s="5">
        <f t="shared" si="0"/>
        <v>493</v>
      </c>
    </row>
    <row r="58" spans="1:17" ht="15.75" thickBot="1" x14ac:dyDescent="0.25">
      <c r="A58" s="12" t="s">
        <v>58</v>
      </c>
      <c r="B58" s="13"/>
      <c r="C58" s="13"/>
      <c r="D58" s="13"/>
      <c r="E58" s="3">
        <f>16</f>
        <v>16</v>
      </c>
      <c r="F58" s="3">
        <v>31</v>
      </c>
      <c r="G58" s="3">
        <v>27</v>
      </c>
      <c r="H58" s="3">
        <v>24</v>
      </c>
      <c r="I58" s="3">
        <f>10</f>
        <v>10</v>
      </c>
      <c r="J58" s="3">
        <f>37</f>
        <v>37</v>
      </c>
      <c r="K58" s="3">
        <f>6+1</f>
        <v>7</v>
      </c>
      <c r="L58" s="3">
        <f>19+2</f>
        <v>21</v>
      </c>
      <c r="M58" s="3">
        <v>4</v>
      </c>
      <c r="N58" s="3">
        <f>50</f>
        <v>50</v>
      </c>
      <c r="O58" s="3">
        <f>120+3</f>
        <v>123</v>
      </c>
      <c r="P58" s="3">
        <f>144</f>
        <v>144</v>
      </c>
      <c r="Q58" s="5">
        <f t="shared" si="0"/>
        <v>494</v>
      </c>
    </row>
    <row r="59" spans="1:17" ht="15.75" thickBot="1" x14ac:dyDescent="0.25">
      <c r="A59" s="12" t="s">
        <v>59</v>
      </c>
      <c r="B59" s="13"/>
      <c r="C59" s="13"/>
      <c r="D59" s="13"/>
      <c r="E59" s="3">
        <f>35+2</f>
        <v>37</v>
      </c>
      <c r="F59" s="3">
        <v>22</v>
      </c>
      <c r="G59" s="3">
        <v>59</v>
      </c>
      <c r="H59" s="3">
        <f>39+1</f>
        <v>40</v>
      </c>
      <c r="I59" s="3">
        <f>15</f>
        <v>15</v>
      </c>
      <c r="J59" s="3">
        <f>19</f>
        <v>19</v>
      </c>
      <c r="K59" s="3">
        <f>10+3</f>
        <v>13</v>
      </c>
      <c r="L59" s="3">
        <f>11+2</f>
        <v>13</v>
      </c>
      <c r="M59" s="3">
        <v>15</v>
      </c>
      <c r="N59" s="3">
        <f>16</f>
        <v>16</v>
      </c>
      <c r="O59" s="3">
        <f>44+1</f>
        <v>45</v>
      </c>
      <c r="P59" s="3">
        <f>24</f>
        <v>24</v>
      </c>
      <c r="Q59" s="5">
        <f t="shared" si="0"/>
        <v>318</v>
      </c>
    </row>
    <row r="60" spans="1:17" ht="15.75" thickBot="1" x14ac:dyDescent="0.25">
      <c r="A60" s="12" t="s">
        <v>60</v>
      </c>
      <c r="B60" s="13"/>
      <c r="C60" s="13"/>
      <c r="D60" s="13"/>
      <c r="E60" s="3">
        <f>1353+8</f>
        <v>1361</v>
      </c>
      <c r="F60" s="3">
        <v>1549</v>
      </c>
      <c r="G60" s="3">
        <v>1886</v>
      </c>
      <c r="H60" s="3">
        <f>1339+60+32+1</f>
        <v>1432</v>
      </c>
      <c r="I60" s="3">
        <f>1061+6+24</f>
        <v>1091</v>
      </c>
      <c r="J60" s="3">
        <f>581+18+5+2</f>
        <v>606</v>
      </c>
      <c r="K60" s="3">
        <f>532+108</f>
        <v>640</v>
      </c>
      <c r="L60" s="3">
        <f>614+83+19+1</f>
        <v>717</v>
      </c>
      <c r="M60" s="3">
        <v>700</v>
      </c>
      <c r="N60" s="3">
        <f>866+16</f>
        <v>882</v>
      </c>
      <c r="O60" s="3">
        <f>1279+7+42+5</f>
        <v>1333</v>
      </c>
      <c r="P60" s="3">
        <f>1122</f>
        <v>1122</v>
      </c>
      <c r="Q60" s="5">
        <f t="shared" si="0"/>
        <v>13319</v>
      </c>
    </row>
    <row r="61" spans="1:17" ht="15.75" thickBot="1" x14ac:dyDescent="0.25">
      <c r="A61" s="12" t="s">
        <v>61</v>
      </c>
      <c r="B61" s="13"/>
      <c r="C61" s="13"/>
      <c r="D61" s="13"/>
      <c r="E61" s="3">
        <f>5668+122</f>
        <v>5790</v>
      </c>
      <c r="F61" s="3">
        <v>5780</v>
      </c>
      <c r="G61" s="3">
        <v>6182</v>
      </c>
      <c r="H61" s="3">
        <f>3317+206+125+12</f>
        <v>3660</v>
      </c>
      <c r="I61" s="3">
        <f>2841+70+83</f>
        <v>2994</v>
      </c>
      <c r="J61" s="3">
        <f>2647+350+45</f>
        <v>3042</v>
      </c>
      <c r="K61" s="3">
        <f>2500+426</f>
        <v>2926</v>
      </c>
      <c r="L61" s="3">
        <f>2325+286+43+3</f>
        <v>2657</v>
      </c>
      <c r="M61" s="3">
        <v>2760</v>
      </c>
      <c r="N61" s="3">
        <f>2929+92</f>
        <v>3021</v>
      </c>
      <c r="O61" s="3">
        <f>3808+180+68</f>
        <v>4056</v>
      </c>
      <c r="P61" s="3">
        <f>4699</f>
        <v>4699</v>
      </c>
      <c r="Q61" s="5">
        <f t="shared" si="0"/>
        <v>47567</v>
      </c>
    </row>
    <row r="62" spans="1:17" ht="15.75" thickBot="1" x14ac:dyDescent="0.25">
      <c r="A62" s="12" t="s">
        <v>62</v>
      </c>
      <c r="B62" s="13"/>
      <c r="C62" s="13"/>
      <c r="D62" s="13"/>
      <c r="E62" s="3">
        <f>858+158</f>
        <v>1016</v>
      </c>
      <c r="F62" s="3">
        <v>1115</v>
      </c>
      <c r="G62" s="3">
        <v>867</v>
      </c>
      <c r="H62" s="3">
        <f>4030+789+2+1</f>
        <v>4822</v>
      </c>
      <c r="I62" s="3">
        <f>827+58+2</f>
        <v>887</v>
      </c>
      <c r="J62" s="3">
        <f>685+42+3</f>
        <v>730</v>
      </c>
      <c r="K62" s="3">
        <f>2565+781</f>
        <v>3346</v>
      </c>
      <c r="L62" s="3">
        <f>1163+104+14+6</f>
        <v>1287</v>
      </c>
      <c r="M62" s="3">
        <v>3410</v>
      </c>
      <c r="N62" s="3">
        <f>1423+184</f>
        <v>1607</v>
      </c>
      <c r="O62" s="3">
        <f>522+130</f>
        <v>652</v>
      </c>
      <c r="P62" s="3">
        <f>286</f>
        <v>286</v>
      </c>
      <c r="Q62" s="5">
        <f t="shared" si="0"/>
        <v>20025</v>
      </c>
    </row>
    <row r="63" spans="1:17" ht="15.75" thickBot="1" x14ac:dyDescent="0.25">
      <c r="A63" s="12" t="s">
        <v>63</v>
      </c>
      <c r="B63" s="13"/>
      <c r="C63" s="13"/>
      <c r="D63" s="13"/>
      <c r="E63" s="3">
        <f>89+3</f>
        <v>92</v>
      </c>
      <c r="F63" s="3">
        <v>50</v>
      </c>
      <c r="G63" s="3">
        <v>82</v>
      </c>
      <c r="H63" s="3">
        <f>104+8</f>
        <v>112</v>
      </c>
      <c r="I63" s="3">
        <f>81+5</f>
        <v>86</v>
      </c>
      <c r="J63" s="3">
        <f>55+4+2</f>
        <v>61</v>
      </c>
      <c r="K63" s="3">
        <f>35+6</f>
        <v>41</v>
      </c>
      <c r="L63" s="3">
        <f>104+11</f>
        <v>115</v>
      </c>
      <c r="M63" s="3">
        <v>80</v>
      </c>
      <c r="N63" s="3">
        <f>77+2</f>
        <v>79</v>
      </c>
      <c r="O63" s="3">
        <f>89+5</f>
        <v>94</v>
      </c>
      <c r="P63" s="3">
        <f>87</f>
        <v>87</v>
      </c>
      <c r="Q63" s="5">
        <f t="shared" si="0"/>
        <v>979</v>
      </c>
    </row>
    <row r="64" spans="1:17" ht="15.75" thickBot="1" x14ac:dyDescent="0.25">
      <c r="A64" s="12" t="s">
        <v>64</v>
      </c>
      <c r="B64" s="13"/>
      <c r="C64" s="13"/>
      <c r="D64" s="13"/>
      <c r="E64" s="3">
        <f>21+1</f>
        <v>22</v>
      </c>
      <c r="F64" s="3">
        <v>0</v>
      </c>
      <c r="G64" s="3">
        <v>1</v>
      </c>
      <c r="H64" s="3">
        <v>0</v>
      </c>
      <c r="I64" s="3">
        <f>3</f>
        <v>3</v>
      </c>
      <c r="J64" s="3">
        <f>14</f>
        <v>14</v>
      </c>
      <c r="K64" s="3">
        <f>4</f>
        <v>4</v>
      </c>
      <c r="L64" s="3">
        <f>1</f>
        <v>1</v>
      </c>
      <c r="M64" s="3">
        <v>0</v>
      </c>
      <c r="N64" s="3">
        <f>4</f>
        <v>4</v>
      </c>
      <c r="O64" s="3">
        <v>0</v>
      </c>
      <c r="P64" s="3">
        <f>25</f>
        <v>25</v>
      </c>
      <c r="Q64" s="5">
        <f t="shared" si="0"/>
        <v>74</v>
      </c>
    </row>
    <row r="65" spans="1:17" ht="15.75" thickBot="1" x14ac:dyDescent="0.25">
      <c r="A65" s="12" t="s">
        <v>65</v>
      </c>
      <c r="B65" s="13"/>
      <c r="C65" s="13"/>
      <c r="D65" s="13"/>
      <c r="E65" s="3">
        <f>14+2</f>
        <v>16</v>
      </c>
      <c r="F65" s="3">
        <v>13</v>
      </c>
      <c r="G65" s="3">
        <v>18</v>
      </c>
      <c r="H65" s="3">
        <v>24</v>
      </c>
      <c r="I65" s="3">
        <f>21</f>
        <v>21</v>
      </c>
      <c r="J65" s="3">
        <f>15+1</f>
        <v>16</v>
      </c>
      <c r="K65" s="3">
        <f>8+1</f>
        <v>9</v>
      </c>
      <c r="L65" s="3">
        <v>3</v>
      </c>
      <c r="M65" s="3">
        <v>7</v>
      </c>
      <c r="N65" s="3">
        <f>9+2</f>
        <v>11</v>
      </c>
      <c r="O65" s="3">
        <f>20+1</f>
        <v>21</v>
      </c>
      <c r="P65" s="3"/>
      <c r="Q65" s="5">
        <f t="shared" si="0"/>
        <v>159</v>
      </c>
    </row>
    <row r="66" spans="1:17" ht="15.75" thickBot="1" x14ac:dyDescent="0.25">
      <c r="A66" s="12" t="s">
        <v>66</v>
      </c>
      <c r="B66" s="13"/>
      <c r="C66" s="13"/>
      <c r="D66" s="13"/>
      <c r="E66" s="3">
        <f>1+5+5+3+36+1+4</f>
        <v>55</v>
      </c>
      <c r="F66" s="3">
        <v>52</v>
      </c>
      <c r="G66" s="11">
        <f>94-7</f>
        <v>87</v>
      </c>
      <c r="H66" s="3">
        <v>70</v>
      </c>
      <c r="I66" s="3">
        <v>47</v>
      </c>
      <c r="J66" s="3">
        <v>27</v>
      </c>
      <c r="K66" s="3">
        <v>195</v>
      </c>
      <c r="L66" s="3">
        <v>129</v>
      </c>
      <c r="M66" s="3">
        <v>112</v>
      </c>
      <c r="N66" s="3">
        <f>22+2+4+21+5+1+18+1+8+8</f>
        <v>90</v>
      </c>
      <c r="O66" s="3">
        <v>218</v>
      </c>
      <c r="P66" s="3">
        <v>85</v>
      </c>
      <c r="Q66" s="5">
        <f t="shared" si="0"/>
        <v>1167</v>
      </c>
    </row>
    <row r="67" spans="1:17" ht="15.75" thickBot="1" x14ac:dyDescent="0.25">
      <c r="A67" s="12" t="s">
        <v>67</v>
      </c>
      <c r="B67" s="13"/>
      <c r="C67" s="13"/>
      <c r="D67" s="13"/>
      <c r="E67" s="3">
        <v>82</v>
      </c>
      <c r="F67" s="3">
        <v>38</v>
      </c>
      <c r="G67" s="11">
        <v>48</v>
      </c>
      <c r="H67" s="3">
        <v>146</v>
      </c>
      <c r="I67" s="3">
        <v>74</v>
      </c>
      <c r="J67" s="3">
        <f>72-34</f>
        <v>38</v>
      </c>
      <c r="K67" s="3">
        <v>149</v>
      </c>
      <c r="L67" s="3">
        <v>86</v>
      </c>
      <c r="M67" s="3">
        <v>68</v>
      </c>
      <c r="N67" s="3">
        <v>72</v>
      </c>
      <c r="O67" s="3">
        <f>74-21</f>
        <v>53</v>
      </c>
      <c r="P67" s="3">
        <f>177-58</f>
        <v>119</v>
      </c>
      <c r="Q67" s="5">
        <f t="shared" si="0"/>
        <v>973</v>
      </c>
    </row>
    <row r="68" spans="1:17" ht="15.75" thickBot="1" x14ac:dyDescent="0.25">
      <c r="A68" s="12" t="s">
        <v>68</v>
      </c>
      <c r="B68" s="13"/>
      <c r="C68" s="13"/>
      <c r="D68" s="13"/>
      <c r="E68" s="3">
        <f>117+17</f>
        <v>134</v>
      </c>
      <c r="F68" s="3">
        <v>61</v>
      </c>
      <c r="G68" s="11">
        <f>61+31-16</f>
        <v>76</v>
      </c>
      <c r="H68" s="3">
        <f>49+30</f>
        <v>79</v>
      </c>
      <c r="I68" s="3">
        <f>28+9</f>
        <v>37</v>
      </c>
      <c r="J68" s="3">
        <v>22</v>
      </c>
      <c r="K68" s="3">
        <f>39+22</f>
        <v>61</v>
      </c>
      <c r="L68" s="3">
        <f>2338-2286-10</f>
        <v>42</v>
      </c>
      <c r="M68" s="3">
        <v>15</v>
      </c>
      <c r="N68" s="3">
        <v>47</v>
      </c>
      <c r="O68" s="3">
        <f>52-6+15+25</f>
        <v>86</v>
      </c>
      <c r="P68" s="3">
        <v>41</v>
      </c>
      <c r="Q68" s="5">
        <f t="shared" ref="Q68" si="1">SUM(E68:P68)</f>
        <v>701</v>
      </c>
    </row>
    <row r="69" spans="1:17" ht="15.75" thickBot="1" x14ac:dyDescent="0.25">
      <c r="A69" s="14" t="s">
        <v>69</v>
      </c>
      <c r="B69" s="15"/>
      <c r="C69" s="15"/>
      <c r="D69" s="15"/>
      <c r="E69" s="4">
        <f>SUM(E3:E68)</f>
        <v>37349</v>
      </c>
      <c r="F69" s="4">
        <f t="shared" ref="F69:Q69" si="2">SUM(F3:F68)</f>
        <v>37639</v>
      </c>
      <c r="G69" s="4">
        <f t="shared" si="2"/>
        <v>42032</v>
      </c>
      <c r="H69" s="4">
        <f t="shared" si="2"/>
        <v>37084</v>
      </c>
      <c r="I69" s="4">
        <f t="shared" si="2"/>
        <v>24859</v>
      </c>
      <c r="J69" s="4">
        <f t="shared" si="2"/>
        <v>19307</v>
      </c>
      <c r="K69" s="4">
        <f t="shared" si="2"/>
        <v>28725</v>
      </c>
      <c r="L69" s="4">
        <f t="shared" si="2"/>
        <v>31655</v>
      </c>
      <c r="M69" s="4">
        <f t="shared" si="2"/>
        <v>29584</v>
      </c>
      <c r="N69" s="4">
        <f t="shared" si="2"/>
        <v>33955</v>
      </c>
      <c r="O69" s="4">
        <f t="shared" si="2"/>
        <v>36042</v>
      </c>
      <c r="P69" s="4">
        <f t="shared" si="2"/>
        <v>44044</v>
      </c>
      <c r="Q69" s="4">
        <f t="shared" si="2"/>
        <v>402275</v>
      </c>
    </row>
  </sheetData>
  <mergeCells count="69">
    <mergeCell ref="A2:D2"/>
    <mergeCell ref="A3:D3"/>
    <mergeCell ref="A4:D4"/>
    <mergeCell ref="A5:D5"/>
    <mergeCell ref="A6:D6"/>
    <mergeCell ref="A18:D18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30:D30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42:D42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54:D54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52:D52"/>
    <mergeCell ref="A53:D53"/>
    <mergeCell ref="A67:D67"/>
    <mergeCell ref="A68:D68"/>
    <mergeCell ref="A69:D69"/>
    <mergeCell ref="A1:Q1"/>
    <mergeCell ref="A61:D61"/>
    <mergeCell ref="A62:D62"/>
    <mergeCell ref="A63:D63"/>
    <mergeCell ref="A64:D64"/>
    <mergeCell ref="A65:D65"/>
    <mergeCell ref="A66:D66"/>
    <mergeCell ref="A55:D55"/>
    <mergeCell ref="A56:D56"/>
    <mergeCell ref="A57:D57"/>
    <mergeCell ref="A58:D58"/>
    <mergeCell ref="A59:D59"/>
    <mergeCell ref="A60:D60"/>
  </mergeCells>
  <pageMargins left="0.98425196850393704" right="0.35433070866141736" top="1.8897637795275593" bottom="0.39370078740157483" header="0.31496062992125984" footer="0.31496062992125984"/>
  <pageSetup paperSize="9" scale="39" orientation="landscape" r:id="rId1"/>
  <headerFooter>
    <oddHeader>&amp;R&amp;"System Font,Normal"&amp;10&amp;K000000&amp;G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"/>
  <sheetViews>
    <sheetView topLeftCell="B19" workbookViewId="0">
      <selection activeCell="K3" sqref="K3:L34"/>
    </sheetView>
  </sheetViews>
  <sheetFormatPr defaultColWidth="10.97265625" defaultRowHeight="15" x14ac:dyDescent="0.2"/>
  <cols>
    <col min="1" max="2" width="10.97265625" style="2"/>
    <col min="3" max="3" width="10.97265625" style="2" customWidth="1"/>
    <col min="4" max="4" width="10.7265625" style="2" customWidth="1"/>
    <col min="5" max="5" width="9.24609375" style="2" bestFit="1" customWidth="1"/>
    <col min="6" max="6" width="8.3828125" style="2" customWidth="1"/>
    <col min="7" max="7" width="11.46484375" style="2" customWidth="1"/>
    <col min="8" max="11" width="10.97265625" style="2" customWidth="1"/>
    <col min="12" max="12" width="11.7109375" style="2" customWidth="1"/>
    <col min="13" max="13" width="9.37109375" style="2" bestFit="1" customWidth="1"/>
    <col min="14" max="14" width="11.8359375" style="2" customWidth="1"/>
    <col min="15" max="15" width="10.97265625" style="2"/>
    <col min="16" max="16" width="11.46484375" style="2" customWidth="1"/>
    <col min="17" max="16384" width="10.97265625" style="2"/>
  </cols>
  <sheetData>
    <row r="1" spans="1:16" ht="15.75" customHeight="1" thickTop="1" thickBot="1" x14ac:dyDescent="0.25">
      <c r="A1" s="25" t="s">
        <v>82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6" ht="15.75" thickBot="1" x14ac:dyDescent="0.25">
      <c r="A2" s="18" t="s">
        <v>83</v>
      </c>
      <c r="B2" s="19" t="s">
        <v>2</v>
      </c>
      <c r="C2" s="19" t="s">
        <v>83</v>
      </c>
      <c r="D2" s="6" t="s">
        <v>70</v>
      </c>
      <c r="E2" s="6" t="s">
        <v>71</v>
      </c>
      <c r="F2" s="6" t="s">
        <v>72</v>
      </c>
      <c r="G2" s="6" t="s">
        <v>73</v>
      </c>
      <c r="H2" s="6" t="s">
        <v>74</v>
      </c>
      <c r="I2" s="6" t="s">
        <v>75</v>
      </c>
      <c r="J2" s="6" t="s">
        <v>76</v>
      </c>
      <c r="K2" s="6" t="s">
        <v>77</v>
      </c>
      <c r="L2" s="6" t="s">
        <v>78</v>
      </c>
      <c r="M2" s="6" t="s">
        <v>79</v>
      </c>
      <c r="N2" s="6" t="s">
        <v>80</v>
      </c>
      <c r="O2" s="6" t="s">
        <v>81</v>
      </c>
      <c r="P2" s="7" t="s">
        <v>115</v>
      </c>
    </row>
    <row r="3" spans="1:16" ht="16.5" thickTop="1" thickBot="1" x14ac:dyDescent="0.25">
      <c r="A3" s="20" t="s">
        <v>84</v>
      </c>
      <c r="B3" s="21">
        <v>0</v>
      </c>
      <c r="C3" s="28" t="s">
        <v>84</v>
      </c>
      <c r="D3" s="5">
        <v>4849</v>
      </c>
      <c r="E3" s="10">
        <f>2495+903+69</f>
        <v>3467</v>
      </c>
      <c r="F3" s="5">
        <v>774</v>
      </c>
      <c r="G3" s="5">
        <v>526</v>
      </c>
      <c r="H3" s="5">
        <v>274</v>
      </c>
      <c r="I3" s="5">
        <v>231</v>
      </c>
      <c r="J3" s="5">
        <f>6386+207+28</f>
        <v>6621</v>
      </c>
      <c r="K3" s="5">
        <f>164+16+3</f>
        <v>183</v>
      </c>
      <c r="L3" s="5">
        <v>673</v>
      </c>
      <c r="M3" s="5">
        <f>254+39+4</f>
        <v>297</v>
      </c>
      <c r="N3" s="5">
        <f>206+103+2</f>
        <v>311</v>
      </c>
      <c r="O3" s="5">
        <f>344+87</f>
        <v>431</v>
      </c>
      <c r="P3" s="5">
        <f>SUM(D3:O3)</f>
        <v>18637</v>
      </c>
    </row>
    <row r="4" spans="1:16" ht="15.75" thickBot="1" x14ac:dyDescent="0.25">
      <c r="A4" s="12" t="s">
        <v>85</v>
      </c>
      <c r="B4" s="13">
        <v>0</v>
      </c>
      <c r="C4" s="22" t="s">
        <v>85</v>
      </c>
      <c r="D4" s="3">
        <v>34299</v>
      </c>
      <c r="E4" s="1">
        <f>24878+6217+1301</f>
        <v>32396</v>
      </c>
      <c r="F4" s="3">
        <v>29403</v>
      </c>
      <c r="G4" s="3">
        <v>28581</v>
      </c>
      <c r="H4" s="3">
        <v>32650</v>
      </c>
      <c r="I4" s="3">
        <v>33378</v>
      </c>
      <c r="J4" s="3">
        <v>53367</v>
      </c>
      <c r="K4" s="3">
        <f>25525+4633+152+21+322+2031</f>
        <v>32684</v>
      </c>
      <c r="L4" s="3">
        <f>32387+1613</f>
        <v>34000</v>
      </c>
      <c r="M4" s="3">
        <v>32538</v>
      </c>
      <c r="N4" s="3">
        <v>19111</v>
      </c>
      <c r="O4" s="3">
        <f>12752+2587</f>
        <v>15339</v>
      </c>
      <c r="P4" s="3">
        <f t="shared" ref="P4:P34" si="0">SUM(D4:O4)</f>
        <v>377746</v>
      </c>
    </row>
    <row r="5" spans="1:16" ht="15.75" thickBot="1" x14ac:dyDescent="0.25">
      <c r="A5" s="12" t="s">
        <v>86</v>
      </c>
      <c r="B5" s="13">
        <v>0</v>
      </c>
      <c r="C5" s="22" t="s">
        <v>86</v>
      </c>
      <c r="D5" s="3">
        <v>4672</v>
      </c>
      <c r="E5" s="1">
        <f>4030+786+417</f>
        <v>5233</v>
      </c>
      <c r="F5" s="3">
        <v>5359</v>
      </c>
      <c r="G5" s="3">
        <v>7137</v>
      </c>
      <c r="H5" s="3">
        <v>6703</v>
      </c>
      <c r="I5" s="3">
        <v>5960</v>
      </c>
      <c r="J5" s="3">
        <f>6702+2571+539</f>
        <v>9812</v>
      </c>
      <c r="K5" s="3">
        <f>4445+1023+10+1+239+521</f>
        <v>6239</v>
      </c>
      <c r="L5" s="3">
        <v>6090</v>
      </c>
      <c r="M5" s="3">
        <v>5368</v>
      </c>
      <c r="N5" s="3">
        <f>2823+391+10+2+141</f>
        <v>3367</v>
      </c>
      <c r="O5" s="3">
        <f>2569+411</f>
        <v>2980</v>
      </c>
      <c r="P5" s="3">
        <f t="shared" si="0"/>
        <v>68920</v>
      </c>
    </row>
    <row r="6" spans="1:16" ht="15.75" thickBot="1" x14ac:dyDescent="0.25">
      <c r="A6" s="12" t="s">
        <v>87</v>
      </c>
      <c r="B6" s="13">
        <v>0</v>
      </c>
      <c r="C6" s="22" t="s">
        <v>87</v>
      </c>
      <c r="D6" s="3">
        <v>485</v>
      </c>
      <c r="E6" s="1">
        <f>302+78+16</f>
        <v>396</v>
      </c>
      <c r="F6" s="3">
        <v>259</v>
      </c>
      <c r="G6" s="3">
        <v>389</v>
      </c>
      <c r="H6" s="3">
        <v>407</v>
      </c>
      <c r="I6" s="3">
        <v>296</v>
      </c>
      <c r="J6" s="3">
        <f>941+278+74</f>
        <v>1293</v>
      </c>
      <c r="K6" s="3">
        <f>276+23+23</f>
        <v>322</v>
      </c>
      <c r="L6" s="3">
        <v>282</v>
      </c>
      <c r="M6" s="3">
        <f>337+67+13</f>
        <v>417</v>
      </c>
      <c r="N6" s="3">
        <f>85+13+5</f>
        <v>103</v>
      </c>
      <c r="O6" s="3">
        <f>149+26</f>
        <v>175</v>
      </c>
      <c r="P6" s="3">
        <f t="shared" si="0"/>
        <v>4824</v>
      </c>
    </row>
    <row r="7" spans="1:16" ht="15.75" thickBot="1" x14ac:dyDescent="0.25">
      <c r="A7" s="12" t="s">
        <v>88</v>
      </c>
      <c r="B7" s="13">
        <v>0</v>
      </c>
      <c r="C7" s="22" t="s">
        <v>88</v>
      </c>
      <c r="D7" s="3">
        <v>1929</v>
      </c>
      <c r="E7" s="1">
        <f>1341+370+45</f>
        <v>1756</v>
      </c>
      <c r="F7" s="3">
        <v>947</v>
      </c>
      <c r="G7" s="3">
        <v>2047</v>
      </c>
      <c r="H7" s="3">
        <v>1471</v>
      </c>
      <c r="I7" s="3">
        <v>1702</v>
      </c>
      <c r="J7" s="3">
        <f>3922+1435+168</f>
        <v>5525</v>
      </c>
      <c r="K7" s="3">
        <f>1541+322+7+73</f>
        <v>1943</v>
      </c>
      <c r="L7" s="3">
        <v>1530</v>
      </c>
      <c r="M7" s="3">
        <f>1581+398+115</f>
        <v>2094</v>
      </c>
      <c r="N7" s="3">
        <f>373+120+2+9</f>
        <v>504</v>
      </c>
      <c r="O7" s="3">
        <f>363+81</f>
        <v>444</v>
      </c>
      <c r="P7" s="3">
        <f t="shared" si="0"/>
        <v>21892</v>
      </c>
    </row>
    <row r="8" spans="1:16" ht="15.75" thickBot="1" x14ac:dyDescent="0.25">
      <c r="A8" s="12" t="s">
        <v>89</v>
      </c>
      <c r="B8" s="13">
        <v>0</v>
      </c>
      <c r="C8" s="22" t="s">
        <v>89</v>
      </c>
      <c r="D8" s="3">
        <v>470</v>
      </c>
      <c r="E8" s="1">
        <f>121+35+6</f>
        <v>162</v>
      </c>
      <c r="F8" s="3">
        <v>83</v>
      </c>
      <c r="G8" s="3">
        <v>98</v>
      </c>
      <c r="H8" s="3">
        <v>60</v>
      </c>
      <c r="I8" s="3">
        <v>46</v>
      </c>
      <c r="J8" s="3">
        <f>453+82+28</f>
        <v>563</v>
      </c>
      <c r="K8" s="3">
        <f>41+7+4</f>
        <v>52</v>
      </c>
      <c r="L8" s="3">
        <v>67</v>
      </c>
      <c r="M8" s="3">
        <f>99+18+3</f>
        <v>120</v>
      </c>
      <c r="N8" s="3">
        <f>46+2</f>
        <v>48</v>
      </c>
      <c r="O8" s="3">
        <f>36+6</f>
        <v>42</v>
      </c>
      <c r="P8" s="3">
        <f t="shared" si="0"/>
        <v>1811</v>
      </c>
    </row>
    <row r="9" spans="1:16" ht="15.75" thickBot="1" x14ac:dyDescent="0.25">
      <c r="A9" s="12" t="s">
        <v>90</v>
      </c>
      <c r="B9" s="13">
        <v>0</v>
      </c>
      <c r="C9" s="22" t="s">
        <v>90</v>
      </c>
      <c r="D9" s="3">
        <v>1212</v>
      </c>
      <c r="E9" s="1">
        <f>692+204+14</f>
        <v>910</v>
      </c>
      <c r="F9" s="3">
        <v>272</v>
      </c>
      <c r="G9" s="3">
        <v>259</v>
      </c>
      <c r="H9" s="3">
        <v>170</v>
      </c>
      <c r="I9" s="3">
        <v>113</v>
      </c>
      <c r="J9" s="3">
        <f>325+88+9</f>
        <v>422</v>
      </c>
      <c r="K9" s="3">
        <f>147+22+7</f>
        <v>176</v>
      </c>
      <c r="L9" s="3">
        <v>137</v>
      </c>
      <c r="M9" s="3">
        <f>150+40+10</f>
        <v>200</v>
      </c>
      <c r="N9" s="3">
        <f>96+7</f>
        <v>103</v>
      </c>
      <c r="O9" s="3">
        <f>105+24</f>
        <v>129</v>
      </c>
      <c r="P9" s="3">
        <f t="shared" si="0"/>
        <v>4103</v>
      </c>
    </row>
    <row r="10" spans="1:16" ht="15.75" thickBot="1" x14ac:dyDescent="0.25">
      <c r="A10" s="12" t="s">
        <v>91</v>
      </c>
      <c r="B10" s="13">
        <v>0</v>
      </c>
      <c r="C10" s="22" t="s">
        <v>91</v>
      </c>
      <c r="D10" s="3">
        <v>5775</v>
      </c>
      <c r="E10" s="1">
        <f>5689+1732+79</f>
        <v>7500</v>
      </c>
      <c r="F10" s="3">
        <v>1398</v>
      </c>
      <c r="G10" s="3">
        <v>1502</v>
      </c>
      <c r="H10" s="3">
        <v>733</v>
      </c>
      <c r="I10" s="3">
        <v>613</v>
      </c>
      <c r="J10" s="3">
        <f>1673+572+33</f>
        <v>2278</v>
      </c>
      <c r="K10" s="3">
        <f>879+135+89</f>
        <v>1103</v>
      </c>
      <c r="L10" s="3">
        <v>881</v>
      </c>
      <c r="M10" s="3">
        <f>831+236+14</f>
        <v>1081</v>
      </c>
      <c r="N10" s="3">
        <f>308+50+9</f>
        <v>367</v>
      </c>
      <c r="O10" s="3">
        <f>407+124</f>
        <v>531</v>
      </c>
      <c r="P10" s="3">
        <f t="shared" si="0"/>
        <v>23762</v>
      </c>
    </row>
    <row r="11" spans="1:16" ht="15.75" thickBot="1" x14ac:dyDescent="0.25">
      <c r="A11" s="12" t="s">
        <v>92</v>
      </c>
      <c r="B11" s="13">
        <v>0</v>
      </c>
      <c r="C11" s="22" t="s">
        <v>92</v>
      </c>
      <c r="D11" s="3">
        <v>315</v>
      </c>
      <c r="E11" s="1">
        <f>166+64+5</f>
        <v>235</v>
      </c>
      <c r="F11" s="3">
        <v>149</v>
      </c>
      <c r="G11" s="3">
        <v>167</v>
      </c>
      <c r="H11" s="3">
        <v>336</v>
      </c>
      <c r="I11" s="3">
        <v>652</v>
      </c>
      <c r="J11" s="3">
        <f>1234+316+59</f>
        <v>1609</v>
      </c>
      <c r="K11" s="3">
        <f>290+27+19</f>
        <v>336</v>
      </c>
      <c r="L11" s="3">
        <v>387</v>
      </c>
      <c r="M11" s="3">
        <f>330+50+9</f>
        <v>389</v>
      </c>
      <c r="N11" s="3">
        <f>84+7+4</f>
        <v>95</v>
      </c>
      <c r="O11" s="3">
        <f>73+25</f>
        <v>98</v>
      </c>
      <c r="P11" s="3">
        <f t="shared" si="0"/>
        <v>4768</v>
      </c>
    </row>
    <row r="12" spans="1:16" ht="15.75" thickBot="1" x14ac:dyDescent="0.25">
      <c r="A12" s="12" t="s">
        <v>93</v>
      </c>
      <c r="B12" s="13">
        <v>0</v>
      </c>
      <c r="C12" s="22" t="s">
        <v>93</v>
      </c>
      <c r="D12" s="3">
        <v>724</v>
      </c>
      <c r="E12" s="1">
        <f>271+68+7</f>
        <v>346</v>
      </c>
      <c r="F12" s="3">
        <v>169</v>
      </c>
      <c r="G12" s="3">
        <v>221</v>
      </c>
      <c r="H12" s="3">
        <v>198</v>
      </c>
      <c r="I12" s="3">
        <v>101</v>
      </c>
      <c r="J12" s="3">
        <f>291+68+7</f>
        <v>366</v>
      </c>
      <c r="K12" s="3">
        <f>103+10+2+2</f>
        <v>117</v>
      </c>
      <c r="L12" s="3">
        <v>109</v>
      </c>
      <c r="M12" s="3">
        <f>83+11+1</f>
        <v>95</v>
      </c>
      <c r="N12" s="3">
        <f>64+7+3</f>
        <v>74</v>
      </c>
      <c r="O12" s="3">
        <f>107+18</f>
        <v>125</v>
      </c>
      <c r="P12" s="3">
        <f t="shared" si="0"/>
        <v>2645</v>
      </c>
    </row>
    <row r="13" spans="1:16" ht="15.75" thickBot="1" x14ac:dyDescent="0.25">
      <c r="A13" s="12" t="s">
        <v>94</v>
      </c>
      <c r="B13" s="13">
        <v>0</v>
      </c>
      <c r="C13" s="22" t="s">
        <v>94</v>
      </c>
      <c r="D13" s="3">
        <v>316</v>
      </c>
      <c r="E13" s="1">
        <f>130+49+3</f>
        <v>182</v>
      </c>
      <c r="F13" s="3">
        <v>187</v>
      </c>
      <c r="G13" s="3">
        <v>309</v>
      </c>
      <c r="H13" s="3">
        <v>482</v>
      </c>
      <c r="I13" s="3">
        <v>402</v>
      </c>
      <c r="J13" s="3">
        <f>1312+384+73</f>
        <v>1769</v>
      </c>
      <c r="K13" s="3">
        <f>330+48+16</f>
        <v>394</v>
      </c>
      <c r="L13" s="3">
        <v>391</v>
      </c>
      <c r="M13" s="3">
        <f>421+102+7</f>
        <v>530</v>
      </c>
      <c r="N13" s="3">
        <f>95+15+3</f>
        <v>113</v>
      </c>
      <c r="O13" s="3">
        <f>56+12</f>
        <v>68</v>
      </c>
      <c r="P13" s="3">
        <f t="shared" si="0"/>
        <v>5143</v>
      </c>
    </row>
    <row r="14" spans="1:16" ht="15.75" thickBot="1" x14ac:dyDescent="0.25">
      <c r="A14" s="12" t="s">
        <v>95</v>
      </c>
      <c r="B14" s="13">
        <v>0</v>
      </c>
      <c r="C14" s="22" t="s">
        <v>95</v>
      </c>
      <c r="D14" s="3">
        <v>881</v>
      </c>
      <c r="E14" s="1">
        <f>477+163+20</f>
        <v>660</v>
      </c>
      <c r="F14" s="3">
        <v>738</v>
      </c>
      <c r="G14" s="3">
        <v>1001</v>
      </c>
      <c r="H14" s="3">
        <v>1553</v>
      </c>
      <c r="I14" s="3">
        <v>4735</v>
      </c>
      <c r="J14" s="3">
        <f>3856+1303+239</f>
        <v>5398</v>
      </c>
      <c r="K14" s="3">
        <f>1632+211+77</f>
        <v>1920</v>
      </c>
      <c r="L14" s="3">
        <v>1500</v>
      </c>
      <c r="M14" s="3">
        <f>1080+154+68</f>
        <v>1302</v>
      </c>
      <c r="N14" s="3">
        <f>515+44+2+35</f>
        <v>596</v>
      </c>
      <c r="O14" s="3">
        <f>430+100</f>
        <v>530</v>
      </c>
      <c r="P14" s="3">
        <f t="shared" si="0"/>
        <v>20814</v>
      </c>
    </row>
    <row r="15" spans="1:16" ht="15.75" thickBot="1" x14ac:dyDescent="0.25">
      <c r="A15" s="12" t="s">
        <v>96</v>
      </c>
      <c r="B15" s="13">
        <v>0</v>
      </c>
      <c r="C15" s="22" t="s">
        <v>96</v>
      </c>
      <c r="D15" s="3">
        <v>12603</v>
      </c>
      <c r="E15" s="1">
        <f>7091+1779</f>
        <v>8870</v>
      </c>
      <c r="F15" s="3">
        <v>5080</v>
      </c>
      <c r="G15" s="3">
        <v>5788</v>
      </c>
      <c r="H15" s="3">
        <v>3785</v>
      </c>
      <c r="I15" s="3">
        <v>3830</v>
      </c>
      <c r="J15" s="3">
        <v>8216</v>
      </c>
      <c r="K15" s="3">
        <f>2988+2+1839+668</f>
        <v>5497</v>
      </c>
      <c r="L15" s="3">
        <v>4538</v>
      </c>
      <c r="M15" s="3">
        <f>1386+1+683+2574</f>
        <v>4644</v>
      </c>
      <c r="N15" s="3">
        <v>2885</v>
      </c>
      <c r="O15" s="3">
        <f>914+545+1940</f>
        <v>3399</v>
      </c>
      <c r="P15" s="3">
        <f t="shared" si="0"/>
        <v>69135</v>
      </c>
    </row>
    <row r="16" spans="1:16" ht="15.75" thickBot="1" x14ac:dyDescent="0.25">
      <c r="A16" s="12" t="s">
        <v>97</v>
      </c>
      <c r="B16" s="13">
        <v>0</v>
      </c>
      <c r="C16" s="22" t="s">
        <v>97</v>
      </c>
      <c r="D16" s="3">
        <v>2281</v>
      </c>
      <c r="E16" s="1">
        <f>1695+487+24</f>
        <v>2206</v>
      </c>
      <c r="F16" s="3">
        <v>386</v>
      </c>
      <c r="G16" s="3">
        <v>488</v>
      </c>
      <c r="H16" s="3">
        <v>118</v>
      </c>
      <c r="I16" s="3">
        <v>117</v>
      </c>
      <c r="J16" s="3">
        <f>596+201+22</f>
        <v>819</v>
      </c>
      <c r="K16" s="3">
        <f>275+37+12</f>
        <v>324</v>
      </c>
      <c r="L16" s="3">
        <v>131</v>
      </c>
      <c r="M16" s="3">
        <f>223+39+5</f>
        <v>267</v>
      </c>
      <c r="N16" s="3">
        <f>47+8</f>
        <v>55</v>
      </c>
      <c r="O16" s="3">
        <f>189+42</f>
        <v>231</v>
      </c>
      <c r="P16" s="3">
        <f t="shared" si="0"/>
        <v>7423</v>
      </c>
    </row>
    <row r="17" spans="1:16" ht="15.75" thickBot="1" x14ac:dyDescent="0.25">
      <c r="A17" s="12" t="s">
        <v>98</v>
      </c>
      <c r="B17" s="13">
        <v>0</v>
      </c>
      <c r="C17" s="22" t="s">
        <v>98</v>
      </c>
      <c r="D17" s="3">
        <v>657</v>
      </c>
      <c r="E17" s="1">
        <f>322+91+5</f>
        <v>418</v>
      </c>
      <c r="F17" s="3">
        <v>552</v>
      </c>
      <c r="G17" s="3">
        <v>770</v>
      </c>
      <c r="H17" s="3">
        <v>887</v>
      </c>
      <c r="I17" s="3">
        <v>903</v>
      </c>
      <c r="J17" s="3">
        <f>1381+416+61</f>
        <v>1858</v>
      </c>
      <c r="K17" s="3">
        <f>720+125+4+12</f>
        <v>861</v>
      </c>
      <c r="L17" s="3">
        <v>974</v>
      </c>
      <c r="M17" s="3">
        <f>711+124+17</f>
        <v>852</v>
      </c>
      <c r="N17" s="3">
        <f>297+37+13</f>
        <v>347</v>
      </c>
      <c r="O17" s="3">
        <f>386+53</f>
        <v>439</v>
      </c>
      <c r="P17" s="3">
        <f t="shared" si="0"/>
        <v>9518</v>
      </c>
    </row>
    <row r="18" spans="1:16" ht="15.75" thickBot="1" x14ac:dyDescent="0.25">
      <c r="A18" s="12" t="s">
        <v>99</v>
      </c>
      <c r="B18" s="13">
        <v>0</v>
      </c>
      <c r="C18" s="22" t="s">
        <v>99</v>
      </c>
      <c r="D18" s="3">
        <v>520</v>
      </c>
      <c r="E18" s="1">
        <f>227+66+10</f>
        <v>303</v>
      </c>
      <c r="F18" s="3">
        <v>451</v>
      </c>
      <c r="G18" s="3">
        <v>847</v>
      </c>
      <c r="H18" s="3">
        <v>1177</v>
      </c>
      <c r="I18" s="3">
        <v>744</v>
      </c>
      <c r="J18" s="3">
        <f>1391+434+64</f>
        <v>1889</v>
      </c>
      <c r="K18" s="3">
        <f>511+88+3+39</f>
        <v>641</v>
      </c>
      <c r="L18" s="3">
        <v>856</v>
      </c>
      <c r="M18" s="3">
        <f>716+109+16</f>
        <v>841</v>
      </c>
      <c r="N18" s="3">
        <f>391+56+6</f>
        <v>453</v>
      </c>
      <c r="O18" s="3">
        <f>666+56</f>
        <v>722</v>
      </c>
      <c r="P18" s="3">
        <f t="shared" si="0"/>
        <v>9444</v>
      </c>
    </row>
    <row r="19" spans="1:16" ht="15.75" thickBot="1" x14ac:dyDescent="0.25">
      <c r="A19" s="12" t="s">
        <v>100</v>
      </c>
      <c r="B19" s="13">
        <v>0</v>
      </c>
      <c r="C19" s="22" t="s">
        <v>100</v>
      </c>
      <c r="D19" s="3">
        <v>4707</v>
      </c>
      <c r="E19" s="1">
        <f>3149+807+96</f>
        <v>4052</v>
      </c>
      <c r="F19" s="3">
        <v>2805</v>
      </c>
      <c r="G19" s="3">
        <v>3980</v>
      </c>
      <c r="H19" s="3">
        <v>3492</v>
      </c>
      <c r="I19" s="3">
        <v>3375</v>
      </c>
      <c r="J19" s="3">
        <f>5479+2022+239</f>
        <v>7740</v>
      </c>
      <c r="K19" s="3">
        <f>2993+517+3+3+136</f>
        <v>3652</v>
      </c>
      <c r="L19" s="3">
        <v>2858</v>
      </c>
      <c r="M19" s="3">
        <f>3533+748+149</f>
        <v>4430</v>
      </c>
      <c r="N19" s="3">
        <f>1362+265+1+66</f>
        <v>1694</v>
      </c>
      <c r="O19" s="3">
        <f>891+236</f>
        <v>1127</v>
      </c>
      <c r="P19" s="3">
        <f t="shared" si="0"/>
        <v>43912</v>
      </c>
    </row>
    <row r="20" spans="1:16" ht="15.75" thickBot="1" x14ac:dyDescent="0.25">
      <c r="A20" s="12" t="s">
        <v>101</v>
      </c>
      <c r="B20" s="13">
        <v>0</v>
      </c>
      <c r="C20" s="22" t="s">
        <v>101</v>
      </c>
      <c r="D20" s="3">
        <v>2986</v>
      </c>
      <c r="E20" s="1">
        <f>1387+443+35</f>
        <v>1865</v>
      </c>
      <c r="F20" s="3">
        <v>704</v>
      </c>
      <c r="G20" s="3">
        <v>622</v>
      </c>
      <c r="H20" s="3">
        <v>388</v>
      </c>
      <c r="I20" s="3">
        <v>426</v>
      </c>
      <c r="J20" s="3">
        <f>911+304+34</f>
        <v>1249</v>
      </c>
      <c r="K20" s="3">
        <f>368+24+9+1+14</f>
        <v>416</v>
      </c>
      <c r="L20" s="3">
        <v>532</v>
      </c>
      <c r="M20" s="3">
        <f>487+221+5</f>
        <v>713</v>
      </c>
      <c r="N20" s="3">
        <f>249+17+31</f>
        <v>297</v>
      </c>
      <c r="O20" s="3">
        <f>300+61</f>
        <v>361</v>
      </c>
      <c r="P20" s="3">
        <f t="shared" si="0"/>
        <v>10559</v>
      </c>
    </row>
    <row r="21" spans="1:16" ht="15.75" thickBot="1" x14ac:dyDescent="0.25">
      <c r="A21" s="12" t="s">
        <v>102</v>
      </c>
      <c r="B21" s="13">
        <v>0</v>
      </c>
      <c r="C21" s="22" t="s">
        <v>102</v>
      </c>
      <c r="D21" s="3">
        <v>729</v>
      </c>
      <c r="E21" s="1">
        <f>555+160+9</f>
        <v>724</v>
      </c>
      <c r="F21" s="3">
        <v>615</v>
      </c>
      <c r="G21" s="3">
        <v>731</v>
      </c>
      <c r="H21" s="3">
        <v>630</v>
      </c>
      <c r="I21" s="3">
        <v>534</v>
      </c>
      <c r="J21" s="3">
        <f>572+307+37</f>
        <v>916</v>
      </c>
      <c r="K21" s="3">
        <f>449+78+17</f>
        <v>544</v>
      </c>
      <c r="L21" s="3">
        <v>643</v>
      </c>
      <c r="M21" s="3">
        <f>571+110+4</f>
        <v>685</v>
      </c>
      <c r="N21" s="3">
        <f>311+31+5</f>
        <v>347</v>
      </c>
      <c r="O21" s="3">
        <f>183+29</f>
        <v>212</v>
      </c>
      <c r="P21" s="3">
        <f t="shared" si="0"/>
        <v>7310</v>
      </c>
    </row>
    <row r="22" spans="1:16" ht="15.75" thickBot="1" x14ac:dyDescent="0.25">
      <c r="A22" s="12" t="s">
        <v>103</v>
      </c>
      <c r="B22" s="13">
        <v>0</v>
      </c>
      <c r="C22" s="22" t="s">
        <v>103</v>
      </c>
      <c r="D22" s="3">
        <v>747</v>
      </c>
      <c r="E22" s="1">
        <f>299+89+11</f>
        <v>399</v>
      </c>
      <c r="F22" s="3">
        <v>255</v>
      </c>
      <c r="G22" s="3">
        <v>240</v>
      </c>
      <c r="H22" s="3">
        <v>283</v>
      </c>
      <c r="I22" s="3">
        <v>196</v>
      </c>
      <c r="J22" s="3">
        <f>244+78+11</f>
        <v>333</v>
      </c>
      <c r="K22" s="3">
        <f>97+11+8</f>
        <v>116</v>
      </c>
      <c r="L22" s="3">
        <v>177</v>
      </c>
      <c r="M22" s="3">
        <f>202+40+8</f>
        <v>250</v>
      </c>
      <c r="N22" s="3">
        <f>67+6+2</f>
        <v>75</v>
      </c>
      <c r="O22" s="3">
        <f>104+31</f>
        <v>135</v>
      </c>
      <c r="P22" s="3">
        <f t="shared" si="0"/>
        <v>3206</v>
      </c>
    </row>
    <row r="23" spans="1:16" ht="15.75" thickBot="1" x14ac:dyDescent="0.25">
      <c r="A23" s="12" t="s">
        <v>104</v>
      </c>
      <c r="B23" s="13">
        <v>0</v>
      </c>
      <c r="C23" s="22" t="s">
        <v>104</v>
      </c>
      <c r="D23" s="3">
        <v>3984</v>
      </c>
      <c r="E23" s="1">
        <f>2397+620+71</f>
        <v>3088</v>
      </c>
      <c r="F23" s="3">
        <v>1056</v>
      </c>
      <c r="G23" s="3">
        <v>1852</v>
      </c>
      <c r="H23" s="3">
        <v>805</v>
      </c>
      <c r="I23" s="3">
        <v>745</v>
      </c>
      <c r="J23" s="3">
        <f>2424+774+87</f>
        <v>3285</v>
      </c>
      <c r="K23" s="3">
        <f>1138+187+1+57</f>
        <v>1383</v>
      </c>
      <c r="L23" s="3">
        <v>811</v>
      </c>
      <c r="M23" s="3">
        <f>825+190+73</f>
        <v>1088</v>
      </c>
      <c r="N23" s="3">
        <f>499+241+3+12</f>
        <v>755</v>
      </c>
      <c r="O23" s="3">
        <f>649+132</f>
        <v>781</v>
      </c>
      <c r="P23" s="3">
        <f t="shared" si="0"/>
        <v>19633</v>
      </c>
    </row>
    <row r="24" spans="1:16" ht="15.75" thickBot="1" x14ac:dyDescent="0.25">
      <c r="A24" s="12" t="s">
        <v>105</v>
      </c>
      <c r="B24" s="13">
        <v>0</v>
      </c>
      <c r="C24" s="22" t="s">
        <v>105</v>
      </c>
      <c r="D24" s="3">
        <v>6257</v>
      </c>
      <c r="E24" s="1">
        <f>4119+1192+101</f>
        <v>5412</v>
      </c>
      <c r="F24" s="3">
        <v>3948</v>
      </c>
      <c r="G24" s="3">
        <v>4065</v>
      </c>
      <c r="H24" s="3">
        <v>3820</v>
      </c>
      <c r="I24" s="3">
        <v>3863</v>
      </c>
      <c r="J24" s="3">
        <f>7651+2736+391</f>
        <v>10778</v>
      </c>
      <c r="K24" s="3">
        <f>3250+621+2+2+118</f>
        <v>3993</v>
      </c>
      <c r="L24" s="3">
        <v>3273</v>
      </c>
      <c r="M24" s="3">
        <f>3612+819+105</f>
        <v>4536</v>
      </c>
      <c r="N24" s="3">
        <f>1731+312+4+49</f>
        <v>2096</v>
      </c>
      <c r="O24" s="3">
        <f>1582+317</f>
        <v>1899</v>
      </c>
      <c r="P24" s="3">
        <f t="shared" si="0"/>
        <v>53940</v>
      </c>
    </row>
    <row r="25" spans="1:16" ht="15.75" thickBot="1" x14ac:dyDescent="0.25">
      <c r="A25" s="12" t="s">
        <v>106</v>
      </c>
      <c r="B25" s="13">
        <v>0</v>
      </c>
      <c r="C25" s="22" t="s">
        <v>106</v>
      </c>
      <c r="D25" s="3">
        <v>2153</v>
      </c>
      <c r="E25" s="1">
        <f>1149+381+31</f>
        <v>1561</v>
      </c>
      <c r="F25" s="3">
        <v>385</v>
      </c>
      <c r="G25" s="3">
        <v>269</v>
      </c>
      <c r="H25" s="3">
        <v>140</v>
      </c>
      <c r="I25" s="3">
        <v>115</v>
      </c>
      <c r="J25" s="3">
        <f>376+137+5</f>
        <v>518</v>
      </c>
      <c r="K25" s="3">
        <f>142+12+2</f>
        <v>156</v>
      </c>
      <c r="L25" s="3">
        <v>166</v>
      </c>
      <c r="M25" s="3">
        <f>122+40+5</f>
        <v>167</v>
      </c>
      <c r="N25" s="3">
        <f>116+36+2</f>
        <v>154</v>
      </c>
      <c r="O25" s="3">
        <f>177+108</f>
        <v>285</v>
      </c>
      <c r="P25" s="3">
        <f t="shared" si="0"/>
        <v>6069</v>
      </c>
    </row>
    <row r="26" spans="1:16" ht="15.75" thickBot="1" x14ac:dyDescent="0.25">
      <c r="A26" s="12" t="s">
        <v>107</v>
      </c>
      <c r="B26" s="13">
        <v>0</v>
      </c>
      <c r="C26" s="22" t="s">
        <v>107</v>
      </c>
      <c r="D26" s="3">
        <v>916</v>
      </c>
      <c r="E26" s="1">
        <f>413+164+8</f>
        <v>585</v>
      </c>
      <c r="F26" s="3">
        <v>257</v>
      </c>
      <c r="G26" s="3">
        <v>191</v>
      </c>
      <c r="H26" s="3">
        <v>210</v>
      </c>
      <c r="I26" s="3">
        <v>273</v>
      </c>
      <c r="J26" s="3">
        <f>418+141+16</f>
        <v>575</v>
      </c>
      <c r="K26" s="3">
        <f>221+38+5</f>
        <v>264</v>
      </c>
      <c r="L26" s="3">
        <v>278</v>
      </c>
      <c r="M26" s="3">
        <f>182+36+3</f>
        <v>221</v>
      </c>
      <c r="N26" s="3">
        <f>70+3</f>
        <v>73</v>
      </c>
      <c r="O26" s="3">
        <f>91+25</f>
        <v>116</v>
      </c>
      <c r="P26" s="3">
        <f t="shared" si="0"/>
        <v>3959</v>
      </c>
    </row>
    <row r="27" spans="1:16" ht="15.75" thickBot="1" x14ac:dyDescent="0.25">
      <c r="A27" s="12" t="s">
        <v>108</v>
      </c>
      <c r="B27" s="13">
        <v>0</v>
      </c>
      <c r="C27" s="22" t="s">
        <v>108</v>
      </c>
      <c r="D27" s="3">
        <v>4508</v>
      </c>
      <c r="E27" s="1">
        <f>4638</f>
        <v>4638</v>
      </c>
      <c r="F27" s="3">
        <v>5981</v>
      </c>
      <c r="G27" s="3">
        <v>9057</v>
      </c>
      <c r="H27" s="3">
        <v>11617</v>
      </c>
      <c r="I27" s="3">
        <v>15583</v>
      </c>
      <c r="J27" s="3">
        <v>12574</v>
      </c>
      <c r="K27" s="3">
        <f>12057+13</f>
        <v>12070</v>
      </c>
      <c r="L27" s="3">
        <v>10548</v>
      </c>
      <c r="M27" s="3">
        <v>10139</v>
      </c>
      <c r="N27" s="3">
        <v>4902</v>
      </c>
      <c r="O27" s="3">
        <v>2810</v>
      </c>
      <c r="P27" s="3">
        <f t="shared" si="0"/>
        <v>104427</v>
      </c>
    </row>
    <row r="28" spans="1:16" ht="15.75" thickBot="1" x14ac:dyDescent="0.25">
      <c r="A28" s="12" t="s">
        <v>109</v>
      </c>
      <c r="B28" s="13">
        <v>0</v>
      </c>
      <c r="C28" s="22" t="s">
        <v>109</v>
      </c>
      <c r="D28" s="3">
        <v>0</v>
      </c>
      <c r="E28" s="1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f t="shared" si="0"/>
        <v>0</v>
      </c>
    </row>
    <row r="29" spans="1:16" ht="15.75" thickBot="1" x14ac:dyDescent="0.25">
      <c r="A29" s="12" t="s">
        <v>66</v>
      </c>
      <c r="B29" s="13">
        <v>0</v>
      </c>
      <c r="C29" s="22" t="s">
        <v>66</v>
      </c>
      <c r="D29" s="3">
        <v>854</v>
      </c>
      <c r="E29" s="1">
        <v>766</v>
      </c>
      <c r="F29" s="3">
        <v>413</v>
      </c>
      <c r="G29" s="3">
        <v>706</v>
      </c>
      <c r="H29" s="3">
        <v>1073</v>
      </c>
      <c r="I29" s="3">
        <v>782</v>
      </c>
      <c r="J29" s="3">
        <v>1554</v>
      </c>
      <c r="K29" s="3">
        <f>1284-4-19-1-4-8-11-3-17-1-1-4-12-25</f>
        <v>1174</v>
      </c>
      <c r="L29" s="3">
        <v>1482</v>
      </c>
      <c r="M29" s="3">
        <f>1454+98</f>
        <v>1552</v>
      </c>
      <c r="N29" s="3">
        <f>1293+44</f>
        <v>1337</v>
      </c>
      <c r="O29" s="3">
        <f>746+67</f>
        <v>813</v>
      </c>
      <c r="P29" s="3">
        <f t="shared" si="0"/>
        <v>12506</v>
      </c>
    </row>
    <row r="30" spans="1:16" ht="15.75" thickBot="1" x14ac:dyDescent="0.25">
      <c r="A30" s="12" t="s">
        <v>110</v>
      </c>
      <c r="B30" s="13">
        <v>0</v>
      </c>
      <c r="C30" s="22" t="s">
        <v>110</v>
      </c>
      <c r="D30" s="3">
        <v>1348</v>
      </c>
      <c r="E30" s="1">
        <v>1227</v>
      </c>
      <c r="F30" s="3">
        <v>1415</v>
      </c>
      <c r="G30" s="3">
        <v>1324</v>
      </c>
      <c r="H30" s="3">
        <v>1294</v>
      </c>
      <c r="I30" s="3">
        <v>1489</v>
      </c>
      <c r="J30" s="3">
        <f>1904+11</f>
        <v>1915</v>
      </c>
      <c r="K30" s="3">
        <v>1758</v>
      </c>
      <c r="L30" s="3">
        <v>1703</v>
      </c>
      <c r="M30" s="3">
        <v>1546</v>
      </c>
      <c r="N30" s="3">
        <v>1807</v>
      </c>
      <c r="O30" s="3">
        <v>1713</v>
      </c>
      <c r="P30" s="3">
        <f t="shared" si="0"/>
        <v>18539</v>
      </c>
    </row>
    <row r="31" spans="1:16" ht="15.75" thickBot="1" x14ac:dyDescent="0.25">
      <c r="A31" s="12" t="s">
        <v>111</v>
      </c>
      <c r="B31" s="13">
        <v>0</v>
      </c>
      <c r="C31" s="22" t="s">
        <v>111</v>
      </c>
      <c r="D31" s="3">
        <v>1798</v>
      </c>
      <c r="E31" s="1">
        <f>1526</f>
        <v>1526</v>
      </c>
      <c r="F31" s="3">
        <v>1004</v>
      </c>
      <c r="G31" s="3">
        <v>1554</v>
      </c>
      <c r="H31" s="3">
        <v>1523</v>
      </c>
      <c r="I31" s="3">
        <v>1463</v>
      </c>
      <c r="J31" s="3">
        <v>3161</v>
      </c>
      <c r="K31" s="3">
        <f>1303-21-1-2-3-1-4-3-20-10-1-4-1-5-2-2-7-4-2-3-19-9-1</f>
        <v>1178</v>
      </c>
      <c r="L31" s="3">
        <v>1501</v>
      </c>
      <c r="M31" s="3">
        <v>1608</v>
      </c>
      <c r="N31" s="3">
        <v>700</v>
      </c>
      <c r="O31" s="3">
        <f>699-177+757-20-25</f>
        <v>1234</v>
      </c>
      <c r="P31" s="3">
        <f t="shared" si="0"/>
        <v>18250</v>
      </c>
    </row>
    <row r="32" spans="1:16" ht="15.75" thickBot="1" x14ac:dyDescent="0.25">
      <c r="A32" s="12" t="s">
        <v>68</v>
      </c>
      <c r="B32" s="13">
        <v>0</v>
      </c>
      <c r="C32" s="22" t="s">
        <v>68</v>
      </c>
      <c r="D32" s="3">
        <v>2725</v>
      </c>
      <c r="E32" s="1">
        <f>1974+1410</f>
        <v>3384</v>
      </c>
      <c r="F32" s="3">
        <v>2374</v>
      </c>
      <c r="G32" s="3">
        <v>2950</v>
      </c>
      <c r="H32" s="3">
        <v>2906</v>
      </c>
      <c r="I32" s="3">
        <v>3221</v>
      </c>
      <c r="J32" s="3">
        <v>3577</v>
      </c>
      <c r="K32" s="3">
        <f>2338-10-2-1-2-4-10-6-5-1-6-4-1+1</f>
        <v>2287</v>
      </c>
      <c r="L32" s="3">
        <v>3679</v>
      </c>
      <c r="M32" s="3">
        <v>3600</v>
      </c>
      <c r="N32" s="3">
        <v>1511</v>
      </c>
      <c r="O32" s="3">
        <f>971-66</f>
        <v>905</v>
      </c>
      <c r="P32" s="3">
        <f t="shared" si="0"/>
        <v>33119</v>
      </c>
    </row>
    <row r="33" spans="1:16" ht="15.75" thickBot="1" x14ac:dyDescent="0.25">
      <c r="A33" s="12" t="s">
        <v>112</v>
      </c>
      <c r="B33" s="13">
        <v>0</v>
      </c>
      <c r="C33" s="22" t="s">
        <v>112</v>
      </c>
      <c r="D33" s="3">
        <v>155</v>
      </c>
      <c r="E33" s="1">
        <v>122</v>
      </c>
      <c r="F33" s="3">
        <v>146</v>
      </c>
      <c r="G33" s="3">
        <v>145</v>
      </c>
      <c r="H33" s="3">
        <v>130</v>
      </c>
      <c r="I33" s="3">
        <v>192</v>
      </c>
      <c r="J33" s="3">
        <v>119</v>
      </c>
      <c r="K33" s="3">
        <v>111</v>
      </c>
      <c r="L33" s="3">
        <v>138</v>
      </c>
      <c r="M33" s="3">
        <v>139</v>
      </c>
      <c r="N33" s="3">
        <v>111</v>
      </c>
      <c r="O33" s="3">
        <f>133-80</f>
        <v>53</v>
      </c>
      <c r="P33" s="3">
        <f t="shared" si="0"/>
        <v>1561</v>
      </c>
    </row>
    <row r="34" spans="1:16" ht="15.75" thickBot="1" x14ac:dyDescent="0.25">
      <c r="A34" s="12" t="s">
        <v>113</v>
      </c>
      <c r="B34" s="13">
        <v>0</v>
      </c>
      <c r="C34" s="22" t="s">
        <v>113</v>
      </c>
      <c r="D34" s="3">
        <v>95</v>
      </c>
      <c r="E34" s="1">
        <v>0</v>
      </c>
      <c r="F34" s="3">
        <v>91</v>
      </c>
      <c r="G34" s="3">
        <v>315</v>
      </c>
      <c r="H34" s="3">
        <v>246</v>
      </c>
      <c r="I34" s="3">
        <v>802</v>
      </c>
      <c r="J34" s="3">
        <v>770</v>
      </c>
      <c r="K34" s="3">
        <v>2356</v>
      </c>
      <c r="L34" s="3">
        <v>4806</v>
      </c>
      <c r="M34" s="3">
        <v>3997</v>
      </c>
      <c r="N34" s="3">
        <v>4056</v>
      </c>
      <c r="O34" s="3">
        <v>1318</v>
      </c>
      <c r="P34" s="3">
        <f t="shared" si="0"/>
        <v>18852</v>
      </c>
    </row>
    <row r="35" spans="1:16" ht="15.75" thickBot="1" x14ac:dyDescent="0.25">
      <c r="A35" s="23" t="s">
        <v>114</v>
      </c>
      <c r="B35" s="24">
        <f>SUM(B3:B34)</f>
        <v>0</v>
      </c>
      <c r="C35" s="24" t="s">
        <v>114</v>
      </c>
      <c r="D35" s="8">
        <f>SUM(D3:D34)</f>
        <v>105950</v>
      </c>
      <c r="E35" s="8">
        <f t="shared" ref="E35:P35" si="1">SUM(E3:E34)</f>
        <v>94389</v>
      </c>
      <c r="F35" s="8">
        <f t="shared" si="1"/>
        <v>67656</v>
      </c>
      <c r="G35" s="8">
        <f t="shared" si="1"/>
        <v>78131</v>
      </c>
      <c r="H35" s="8">
        <f t="shared" si="1"/>
        <v>79561</v>
      </c>
      <c r="I35" s="8">
        <f t="shared" si="1"/>
        <v>86882</v>
      </c>
      <c r="J35" s="8">
        <f t="shared" si="1"/>
        <v>150869</v>
      </c>
      <c r="K35" s="8">
        <f t="shared" si="1"/>
        <v>84250</v>
      </c>
      <c r="L35" s="8">
        <f t="shared" si="1"/>
        <v>85141</v>
      </c>
      <c r="M35" s="8">
        <f t="shared" si="1"/>
        <v>85706</v>
      </c>
      <c r="N35" s="8">
        <f t="shared" si="1"/>
        <v>48447</v>
      </c>
      <c r="O35" s="8">
        <f t="shared" si="1"/>
        <v>39445</v>
      </c>
      <c r="P35" s="8">
        <f t="shared" si="1"/>
        <v>1006427</v>
      </c>
    </row>
  </sheetData>
  <mergeCells count="35">
    <mergeCell ref="A12:C12"/>
    <mergeCell ref="A2:C2"/>
    <mergeCell ref="A3:C3"/>
    <mergeCell ref="A4:C4"/>
    <mergeCell ref="A5:C5"/>
    <mergeCell ref="A6:C6"/>
    <mergeCell ref="A29:C29"/>
    <mergeCell ref="A30:C30"/>
    <mergeCell ref="A19:C19"/>
    <mergeCell ref="A20:C20"/>
    <mergeCell ref="A21:C21"/>
    <mergeCell ref="A22:C22"/>
    <mergeCell ref="A23:C23"/>
    <mergeCell ref="A24:C24"/>
    <mergeCell ref="A1:P1"/>
    <mergeCell ref="A25:C25"/>
    <mergeCell ref="A26:C26"/>
    <mergeCell ref="A27:C27"/>
    <mergeCell ref="A28:C28"/>
    <mergeCell ref="A13:C13"/>
    <mergeCell ref="A14:C14"/>
    <mergeCell ref="A15:C15"/>
    <mergeCell ref="A16:C16"/>
    <mergeCell ref="A17:C17"/>
    <mergeCell ref="A18:C18"/>
    <mergeCell ref="A7:C7"/>
    <mergeCell ref="A8:C8"/>
    <mergeCell ref="A9:C9"/>
    <mergeCell ref="A10:C10"/>
    <mergeCell ref="A11:C11"/>
    <mergeCell ref="A31:C31"/>
    <mergeCell ref="A32:C32"/>
    <mergeCell ref="A33:C33"/>
    <mergeCell ref="A34:C34"/>
    <mergeCell ref="A35:C3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"/>
  <sheetViews>
    <sheetView workbookViewId="0">
      <selection activeCell="O6" sqref="O6"/>
    </sheetView>
  </sheetViews>
  <sheetFormatPr defaultColWidth="10.97265625" defaultRowHeight="15" x14ac:dyDescent="0.2"/>
  <cols>
    <col min="1" max="3" width="10.97265625" style="9"/>
    <col min="4" max="4" width="9.73828125" style="9" customWidth="1"/>
    <col min="5" max="5" width="9.24609375" style="9" bestFit="1" customWidth="1"/>
    <col min="6" max="6" width="7.3984375" style="9" bestFit="1" customWidth="1"/>
    <col min="7" max="7" width="7.890625" style="9" customWidth="1"/>
    <col min="8" max="8" width="8.5078125" style="9" customWidth="1"/>
    <col min="9" max="9" width="6.41015625" style="9" bestFit="1" customWidth="1"/>
    <col min="10" max="10" width="7.765625" style="9" customWidth="1"/>
    <col min="11" max="11" width="8.3828125" style="9" bestFit="1" customWidth="1"/>
    <col min="12" max="12" width="10.6015625" style="9" bestFit="1" customWidth="1"/>
    <col min="13" max="13" width="9.37109375" style="9" bestFit="1" customWidth="1"/>
    <col min="14" max="14" width="10.234375" style="9" bestFit="1" customWidth="1"/>
    <col min="15" max="15" width="10.48046875" style="9" bestFit="1" customWidth="1"/>
    <col min="16" max="16" width="11.34375" style="9" customWidth="1"/>
    <col min="17" max="16384" width="10.97265625" style="9"/>
  </cols>
  <sheetData>
    <row r="1" spans="1:16" ht="17.25" customHeight="1" thickTop="1" thickBot="1" x14ac:dyDescent="0.25">
      <c r="A1" s="25" t="s">
        <v>116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6" ht="15.75" thickBot="1" x14ac:dyDescent="0.25">
      <c r="A2" s="18" t="s">
        <v>1</v>
      </c>
      <c r="B2" s="19"/>
      <c r="C2" s="19"/>
      <c r="D2" s="6" t="s">
        <v>70</v>
      </c>
      <c r="E2" s="6" t="s">
        <v>71</v>
      </c>
      <c r="F2" s="6" t="s">
        <v>72</v>
      </c>
      <c r="G2" s="6" t="s">
        <v>73</v>
      </c>
      <c r="H2" s="6" t="s">
        <v>74</v>
      </c>
      <c r="I2" s="6" t="s">
        <v>75</v>
      </c>
      <c r="J2" s="6" t="s">
        <v>76</v>
      </c>
      <c r="K2" s="6" t="s">
        <v>77</v>
      </c>
      <c r="L2" s="6" t="s">
        <v>78</v>
      </c>
      <c r="M2" s="6" t="s">
        <v>79</v>
      </c>
      <c r="N2" s="6" t="s">
        <v>80</v>
      </c>
      <c r="O2" s="6" t="s">
        <v>81</v>
      </c>
      <c r="P2" s="7" t="s">
        <v>115</v>
      </c>
    </row>
    <row r="3" spans="1:16" ht="16.5" thickTop="1" thickBot="1" x14ac:dyDescent="0.25">
      <c r="A3" s="20" t="s">
        <v>8</v>
      </c>
      <c r="B3" s="21"/>
      <c r="C3" s="28"/>
      <c r="D3" s="5">
        <f>10242+2140</f>
        <v>12382</v>
      </c>
      <c r="E3" s="10">
        <f>5582+599</f>
        <v>6181</v>
      </c>
      <c r="F3" s="5">
        <v>6853</v>
      </c>
      <c r="G3" s="5">
        <f>10756+872+58+4</f>
        <v>11690</v>
      </c>
      <c r="H3" s="5">
        <f>8190+514+32+1</f>
        <v>8737</v>
      </c>
      <c r="I3" s="5">
        <f>6900+605+49+2</f>
        <v>7556</v>
      </c>
      <c r="J3" s="5">
        <v>15422</v>
      </c>
      <c r="K3" s="5">
        <f>7664+669</f>
        <v>8333</v>
      </c>
      <c r="L3" s="5">
        <v>9365</v>
      </c>
      <c r="M3" s="5">
        <v>6937</v>
      </c>
      <c r="N3" s="5">
        <f>2810+227+20+1</f>
        <v>3058</v>
      </c>
      <c r="O3" s="5">
        <v>7503</v>
      </c>
      <c r="P3" s="5">
        <f>SUM(D3:O3)</f>
        <v>104017</v>
      </c>
    </row>
    <row r="4" spans="1:16" ht="15.75" thickBot="1" x14ac:dyDescent="0.25">
      <c r="A4" s="12" t="s">
        <v>67</v>
      </c>
      <c r="B4" s="13"/>
      <c r="C4" s="22"/>
      <c r="D4" s="3">
        <v>38</v>
      </c>
      <c r="E4" s="1">
        <f>15</f>
        <v>15</v>
      </c>
      <c r="F4" s="3">
        <v>10</v>
      </c>
      <c r="G4" s="3">
        <v>29</v>
      </c>
      <c r="H4" s="3">
        <v>29</v>
      </c>
      <c r="I4" s="3">
        <v>34</v>
      </c>
      <c r="J4" s="3">
        <v>76</v>
      </c>
      <c r="K4" s="3">
        <v>21</v>
      </c>
      <c r="L4" s="3">
        <v>46</v>
      </c>
      <c r="M4" s="3">
        <v>31</v>
      </c>
      <c r="N4" s="3">
        <v>21</v>
      </c>
      <c r="O4" s="3">
        <v>58</v>
      </c>
      <c r="P4" s="3">
        <f t="shared" ref="P4:P8" si="0">SUM(D4:O4)</f>
        <v>408</v>
      </c>
    </row>
    <row r="5" spans="1:16" ht="15.75" thickBot="1" x14ac:dyDescent="0.25">
      <c r="A5" s="12" t="s">
        <v>68</v>
      </c>
      <c r="B5" s="13"/>
      <c r="C5" s="22"/>
      <c r="D5" s="3">
        <f>57+23</f>
        <v>80</v>
      </c>
      <c r="E5" s="1">
        <f>13+6</f>
        <v>19</v>
      </c>
      <c r="F5" s="3">
        <v>16</v>
      </c>
      <c r="G5" s="3">
        <f>19+12</f>
        <v>31</v>
      </c>
      <c r="H5" s="3">
        <f>23+9</f>
        <v>32</v>
      </c>
      <c r="I5" s="3">
        <v>13</v>
      </c>
      <c r="J5" s="3">
        <f>43+21</f>
        <v>64</v>
      </c>
      <c r="K5" s="3">
        <v>10</v>
      </c>
      <c r="L5" s="3">
        <v>11</v>
      </c>
      <c r="M5" s="3">
        <v>31</v>
      </c>
      <c r="N5" s="3">
        <v>9</v>
      </c>
      <c r="O5" s="3">
        <f>25+20</f>
        <v>45</v>
      </c>
      <c r="P5" s="3">
        <f t="shared" si="0"/>
        <v>361</v>
      </c>
    </row>
    <row r="6" spans="1:16" ht="15.75" thickBot="1" x14ac:dyDescent="0.25">
      <c r="A6" s="12" t="s">
        <v>66</v>
      </c>
      <c r="B6" s="13"/>
      <c r="C6" s="22"/>
      <c r="D6" s="3">
        <v>35</v>
      </c>
      <c r="E6" s="1">
        <v>21</v>
      </c>
      <c r="F6" s="3">
        <v>7</v>
      </c>
      <c r="G6" s="3">
        <v>20</v>
      </c>
      <c r="H6" s="3">
        <v>12</v>
      </c>
      <c r="I6" s="3">
        <v>36</v>
      </c>
      <c r="J6" s="3">
        <v>15</v>
      </c>
      <c r="K6" s="3">
        <v>19</v>
      </c>
      <c r="L6" s="3">
        <v>32</v>
      </c>
      <c r="M6" s="3">
        <v>250</v>
      </c>
      <c r="N6" s="3">
        <v>270</v>
      </c>
      <c r="O6" s="3">
        <v>33</v>
      </c>
      <c r="P6" s="3">
        <f t="shared" si="0"/>
        <v>750</v>
      </c>
    </row>
    <row r="7" spans="1:16" ht="15.75" thickBot="1" x14ac:dyDescent="0.25">
      <c r="A7" s="12" t="s">
        <v>112</v>
      </c>
      <c r="B7" s="13"/>
      <c r="C7" s="22"/>
      <c r="D7" s="3">
        <v>78</v>
      </c>
      <c r="E7" s="1">
        <f>63+2+4</f>
        <v>69</v>
      </c>
      <c r="F7" s="3">
        <v>137</v>
      </c>
      <c r="G7" s="3">
        <f>88+4+2+24</f>
        <v>118</v>
      </c>
      <c r="H7" s="3">
        <f>63+4+4+6</f>
        <v>77</v>
      </c>
      <c r="I7" s="3">
        <f>66+8</f>
        <v>74</v>
      </c>
      <c r="J7" s="3">
        <v>57</v>
      </c>
      <c r="K7" s="3">
        <v>57</v>
      </c>
      <c r="L7" s="3">
        <v>130</v>
      </c>
      <c r="M7" s="3">
        <v>94</v>
      </c>
      <c r="N7" s="3">
        <v>139</v>
      </c>
      <c r="O7" s="3">
        <v>80</v>
      </c>
      <c r="P7" s="3">
        <f t="shared" si="0"/>
        <v>1110</v>
      </c>
    </row>
    <row r="8" spans="1:16" ht="15.75" thickBot="1" x14ac:dyDescent="0.25">
      <c r="A8" s="12" t="s">
        <v>117</v>
      </c>
      <c r="B8" s="13"/>
      <c r="C8" s="22"/>
      <c r="D8" s="3">
        <f>1375+2+1</f>
        <v>1378</v>
      </c>
      <c r="E8" s="1">
        <f>1393+1+5+2</f>
        <v>1401</v>
      </c>
      <c r="F8" s="3">
        <v>1692</v>
      </c>
      <c r="G8" s="3">
        <v>1347</v>
      </c>
      <c r="H8" s="3">
        <v>1204</v>
      </c>
      <c r="I8" s="3">
        <v>1169</v>
      </c>
      <c r="J8" s="3">
        <v>1691</v>
      </c>
      <c r="K8" s="3">
        <f>1579+3</f>
        <v>1582</v>
      </c>
      <c r="L8" s="3">
        <v>1436</v>
      </c>
      <c r="M8" s="3">
        <v>1492</v>
      </c>
      <c r="N8" s="3">
        <v>1661</v>
      </c>
      <c r="O8" s="3">
        <v>1594</v>
      </c>
      <c r="P8" s="3">
        <f t="shared" si="0"/>
        <v>17647</v>
      </c>
    </row>
    <row r="9" spans="1:16" ht="15.75" thickBot="1" x14ac:dyDescent="0.25">
      <c r="A9" s="23" t="s">
        <v>118</v>
      </c>
      <c r="B9" s="24"/>
      <c r="C9" s="24"/>
      <c r="D9" s="8">
        <f>SUM(D3:D8)</f>
        <v>13991</v>
      </c>
      <c r="E9" s="8">
        <f t="shared" ref="E9:O9" si="1">SUM(E3:E8)</f>
        <v>7706</v>
      </c>
      <c r="F9" s="8">
        <f t="shared" si="1"/>
        <v>8715</v>
      </c>
      <c r="G9" s="8">
        <f t="shared" si="1"/>
        <v>13235</v>
      </c>
      <c r="H9" s="8">
        <f>SUM(H3:H8)</f>
        <v>10091</v>
      </c>
      <c r="I9" s="8">
        <f t="shared" si="1"/>
        <v>8882</v>
      </c>
      <c r="J9" s="8">
        <f t="shared" si="1"/>
        <v>17325</v>
      </c>
      <c r="K9" s="8">
        <f t="shared" si="1"/>
        <v>10022</v>
      </c>
      <c r="L9" s="8">
        <f t="shared" si="1"/>
        <v>11020</v>
      </c>
      <c r="M9" s="8">
        <f t="shared" si="1"/>
        <v>8835</v>
      </c>
      <c r="N9" s="8">
        <f t="shared" si="1"/>
        <v>5158</v>
      </c>
      <c r="O9" s="8">
        <f t="shared" si="1"/>
        <v>9313</v>
      </c>
      <c r="P9" s="8">
        <f>SUM(P3:P8)</f>
        <v>124293</v>
      </c>
    </row>
  </sheetData>
  <mergeCells count="9">
    <mergeCell ref="A7:C7"/>
    <mergeCell ref="A8:C8"/>
    <mergeCell ref="A9:C9"/>
    <mergeCell ref="A1:P1"/>
    <mergeCell ref="A2:C2"/>
    <mergeCell ref="A3:C3"/>
    <mergeCell ref="A4:C4"/>
    <mergeCell ref="A5:C5"/>
    <mergeCell ref="A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EXTRANJEROS</vt:lpstr>
      <vt:lpstr>ARGENTINOS</vt:lpstr>
      <vt:lpstr>BRASIL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Elvio Minaglia</cp:lastModifiedBy>
  <cp:lastPrinted>2023-03-24T15:05:28Z</cp:lastPrinted>
  <dcterms:created xsi:type="dcterms:W3CDTF">2021-03-11T12:04:49Z</dcterms:created>
  <dcterms:modified xsi:type="dcterms:W3CDTF">2024-01-01T19:25:53Z</dcterms:modified>
</cp:coreProperties>
</file>